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TEXTILES LOT FROM MCY'S" sheetId="1" r:id="rId1"/>
  </sheets>
  <definedNames>
    <definedName name="_xlnm._FilterDatabase" localSheetId="0" hidden="1">'TEXTILES LOT FROM MCY''S'!$A$15:$M$583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8" i="1" l="1"/>
  <c r="M59" i="1"/>
  <c r="M516" i="1"/>
  <c r="M215" i="1"/>
  <c r="M422" i="1"/>
  <c r="M431" i="1"/>
  <c r="M470" i="1"/>
  <c r="M41" i="1"/>
  <c r="M43" i="1"/>
  <c r="M45" i="1"/>
  <c r="M40" i="1"/>
  <c r="M121" i="1"/>
  <c r="M460" i="1"/>
  <c r="M433" i="1"/>
  <c r="M428" i="1"/>
  <c r="M429" i="1"/>
  <c r="M427" i="1"/>
  <c r="M423" i="1"/>
  <c r="M426" i="1"/>
  <c r="M63" i="1"/>
  <c r="M62" i="1"/>
  <c r="M214" i="1"/>
  <c r="M90" i="1"/>
  <c r="M96" i="1"/>
  <c r="M445" i="1"/>
  <c r="M448" i="1"/>
  <c r="M450" i="1"/>
  <c r="M447" i="1"/>
  <c r="M444" i="1"/>
  <c r="M446" i="1"/>
  <c r="M443" i="1"/>
  <c r="M449" i="1"/>
  <c r="M266" i="1"/>
  <c r="M94" i="1"/>
  <c r="M432" i="1"/>
  <c r="M515" i="1"/>
  <c r="M61" i="1"/>
  <c r="M98" i="1"/>
  <c r="M97" i="1"/>
  <c r="M264" i="1"/>
  <c r="M263" i="1"/>
  <c r="M262" i="1"/>
  <c r="M466" i="1"/>
  <c r="M492" i="1"/>
  <c r="M436" i="1"/>
  <c r="M442" i="1"/>
  <c r="M441" i="1"/>
  <c r="M437" i="1"/>
  <c r="M440" i="1"/>
  <c r="M134" i="1"/>
  <c r="M465" i="1"/>
  <c r="M106" i="1"/>
  <c r="M395" i="1"/>
  <c r="M430" i="1"/>
  <c r="M66" i="1"/>
  <c r="M65" i="1"/>
  <c r="M88" i="1"/>
  <c r="M91" i="1"/>
  <c r="M92" i="1"/>
  <c r="M87" i="1"/>
  <c r="M86" i="1"/>
  <c r="M85" i="1"/>
  <c r="M133" i="1"/>
  <c r="M132" i="1"/>
  <c r="M131" i="1"/>
  <c r="M81" i="1"/>
  <c r="M200" i="1"/>
  <c r="M495" i="1"/>
  <c r="M462" i="1"/>
  <c r="M71" i="1"/>
  <c r="M83" i="1"/>
  <c r="M129" i="1"/>
  <c r="M122" i="1"/>
  <c r="M99" i="1"/>
  <c r="M473" i="1"/>
  <c r="M463" i="1"/>
  <c r="M125" i="1"/>
  <c r="M394" i="1"/>
  <c r="M511" i="1"/>
  <c r="M93" i="1"/>
  <c r="M425" i="1"/>
  <c r="M424" i="1"/>
  <c r="M44" i="1"/>
  <c r="M472" i="1"/>
  <c r="M471" i="1"/>
  <c r="M556" i="1"/>
  <c r="M67" i="1"/>
  <c r="M124" i="1"/>
  <c r="M123" i="1"/>
  <c r="M252" i="1"/>
  <c r="M401" i="1"/>
  <c r="M400" i="1"/>
  <c r="M399" i="1"/>
  <c r="M100" i="1"/>
  <c r="M512" i="1"/>
  <c r="M275" i="1"/>
  <c r="M513" i="1"/>
  <c r="M152" i="1"/>
  <c r="M58" i="1"/>
  <c r="M419" i="1"/>
  <c r="M150" i="1"/>
  <c r="M127" i="1"/>
  <c r="M126" i="1"/>
  <c r="M145" i="1"/>
  <c r="M155" i="1"/>
  <c r="M489" i="1"/>
  <c r="M27" i="1"/>
  <c r="M553" i="1"/>
  <c r="M84" i="1"/>
  <c r="M514" i="1"/>
  <c r="M459" i="1"/>
  <c r="M398" i="1"/>
  <c r="M79" i="1"/>
  <c r="M259" i="1"/>
  <c r="M95" i="1"/>
  <c r="M103" i="1"/>
  <c r="M105" i="1"/>
  <c r="M102" i="1"/>
  <c r="M101" i="1"/>
  <c r="M25" i="1"/>
  <c r="M104" i="1"/>
  <c r="M255" i="1"/>
  <c r="M254" i="1"/>
  <c r="M28" i="1"/>
  <c r="M373" i="1"/>
  <c r="M508" i="1"/>
  <c r="M490" i="1"/>
  <c r="M487" i="1"/>
  <c r="M77" i="1"/>
  <c r="M336" i="1"/>
  <c r="M48" i="1"/>
  <c r="M297" i="1"/>
  <c r="M315" i="1"/>
  <c r="M317" i="1"/>
  <c r="M316" i="1"/>
  <c r="M374" i="1"/>
  <c r="M488" i="1"/>
  <c r="M207" i="1"/>
  <c r="M73" i="1"/>
  <c r="M417" i="1"/>
  <c r="M416" i="1"/>
  <c r="M42" i="1"/>
  <c r="M461" i="1"/>
  <c r="M458" i="1"/>
  <c r="M528" i="1"/>
  <c r="M537" i="1"/>
  <c r="M89" i="1"/>
  <c r="M345" i="1"/>
  <c r="M82" i="1"/>
  <c r="M142" i="1"/>
  <c r="M222" i="1"/>
  <c r="M221" i="1"/>
  <c r="M220" i="1"/>
  <c r="M75" i="1"/>
  <c r="M583" i="1"/>
  <c r="M169" i="1"/>
  <c r="M206" i="1"/>
  <c r="M210" i="1"/>
  <c r="M390" i="1"/>
  <c r="M209" i="1"/>
  <c r="M243" i="1"/>
  <c r="M244" i="1"/>
  <c r="M320" i="1"/>
  <c r="M322" i="1"/>
  <c r="M324" i="1"/>
  <c r="M325" i="1"/>
  <c r="M493" i="1"/>
  <c r="M321" i="1"/>
  <c r="M337" i="1"/>
  <c r="M24" i="1"/>
  <c r="M23" i="1"/>
  <c r="M368" i="1"/>
  <c r="M503" i="1"/>
  <c r="M250" i="1"/>
  <c r="M312" i="1"/>
  <c r="M219" i="1"/>
  <c r="M313" i="1"/>
  <c r="M208" i="1"/>
  <c r="M271" i="1"/>
  <c r="M191" i="1"/>
  <c r="M549" i="1"/>
  <c r="M406" i="1"/>
  <c r="M548" i="1"/>
  <c r="M550" i="1"/>
  <c r="M26" i="1"/>
  <c r="M318" i="1"/>
  <c r="M580" i="1"/>
  <c r="M567" i="1"/>
  <c r="M566" i="1"/>
  <c r="M522" i="1"/>
  <c r="M568" i="1"/>
  <c r="M403" i="1"/>
  <c r="M533" i="1"/>
  <c r="M439" i="1"/>
  <c r="M540" i="1"/>
  <c r="M192" i="1"/>
  <c r="M193" i="1"/>
  <c r="M140" i="1"/>
  <c r="M582" i="1"/>
  <c r="M581" i="1"/>
  <c r="M107" i="1"/>
  <c r="M201" i="1"/>
  <c r="M203" i="1"/>
  <c r="M74" i="1"/>
  <c r="M494" i="1"/>
  <c r="M418" i="1"/>
  <c r="M307" i="1"/>
  <c r="M306" i="1"/>
  <c r="M305" i="1"/>
  <c r="M497" i="1"/>
  <c r="M159" i="1"/>
  <c r="M168" i="1"/>
  <c r="M21" i="1"/>
  <c r="M551" i="1"/>
  <c r="M552" i="1"/>
  <c r="M526" i="1"/>
  <c r="M314" i="1"/>
  <c r="M344" i="1"/>
  <c r="M108" i="1"/>
  <c r="M165" i="1"/>
  <c r="M166" i="1"/>
  <c r="M261" i="1"/>
  <c r="M308" i="1"/>
  <c r="M22" i="1"/>
  <c r="M230" i="1"/>
  <c r="M335" i="1"/>
  <c r="M413" i="1"/>
  <c r="M396" i="1"/>
  <c r="M69" i="1"/>
  <c r="M118" i="1"/>
  <c r="M559" i="1"/>
  <c r="M536" i="1"/>
  <c r="M257" i="1"/>
  <c r="M258" i="1"/>
  <c r="M530" i="1"/>
  <c r="M532" i="1"/>
  <c r="M531" i="1"/>
  <c r="M539" i="1"/>
  <c r="M135" i="1"/>
  <c r="M327" i="1"/>
  <c r="M384" i="1"/>
  <c r="M329" i="1"/>
  <c r="M328" i="1"/>
  <c r="M326" i="1"/>
  <c r="M119" i="1"/>
  <c r="M141" i="1"/>
  <c r="M391" i="1"/>
  <c r="M235" i="1"/>
  <c r="M543" i="1"/>
  <c r="M205" i="1"/>
  <c r="M204" i="1"/>
  <c r="M309" i="1"/>
  <c r="M245" i="1"/>
  <c r="M60" i="1"/>
  <c r="M280" i="1"/>
  <c r="M273" i="1"/>
  <c r="M272" i="1"/>
  <c r="M434" i="1"/>
  <c r="M438" i="1"/>
  <c r="M521" i="1"/>
  <c r="M517" i="1"/>
  <c r="M519" i="1"/>
  <c r="M474" i="1"/>
  <c r="M153" i="1"/>
  <c r="M534" i="1"/>
  <c r="M187" i="1"/>
  <c r="M224" i="1"/>
  <c r="M349" i="1"/>
  <c r="M68" i="1"/>
  <c r="M475" i="1"/>
  <c r="M55" i="1"/>
  <c r="M223" i="1"/>
  <c r="M202" i="1"/>
  <c r="M156" i="1"/>
  <c r="M576" i="1"/>
  <c r="M547" i="1"/>
  <c r="M496" i="1"/>
  <c r="M408" i="1"/>
  <c r="M186" i="1"/>
  <c r="M195" i="1"/>
  <c r="M369" i="1"/>
  <c r="M574" i="1"/>
  <c r="M360" i="1"/>
  <c r="M361" i="1"/>
  <c r="M485" i="1"/>
  <c r="M184" i="1"/>
  <c r="M227" i="1"/>
  <c r="M146" i="1"/>
  <c r="M147" i="1"/>
  <c r="M197" i="1"/>
  <c r="M196" i="1"/>
  <c r="M16" i="1"/>
  <c r="M510" i="1"/>
  <c r="M509" i="1"/>
  <c r="M162" i="1"/>
  <c r="M323" i="1"/>
  <c r="M520" i="1"/>
  <c r="M301" i="1"/>
  <c r="M573" i="1"/>
  <c r="M572" i="1"/>
  <c r="M571" i="1"/>
  <c r="M253" i="1"/>
  <c r="M72" i="1"/>
  <c r="M435" i="1"/>
  <c r="M164" i="1"/>
  <c r="M163" i="1"/>
  <c r="M527" i="1"/>
  <c r="M486" i="1"/>
  <c r="M347" i="1"/>
  <c r="M346" i="1"/>
  <c r="M542" i="1"/>
  <c r="M236" i="1"/>
  <c r="M570" i="1"/>
  <c r="M154" i="1"/>
  <c r="M185" i="1"/>
  <c r="M333" i="1"/>
  <c r="M334" i="1"/>
  <c r="M233" i="1"/>
  <c r="M383" i="1"/>
  <c r="M382" i="1"/>
  <c r="M213" i="1"/>
  <c r="M225" i="1"/>
  <c r="M212" i="1"/>
  <c r="M372" i="1"/>
  <c r="M50" i="1"/>
  <c r="M420" i="1"/>
  <c r="M120" i="1"/>
  <c r="M541" i="1"/>
  <c r="M535" i="1"/>
  <c r="M170" i="1"/>
  <c r="M546" i="1"/>
  <c r="M149" i="1"/>
  <c r="M172" i="1"/>
  <c r="M52" i="1"/>
  <c r="M117" i="1"/>
  <c r="M524" i="1"/>
  <c r="M523" i="1"/>
  <c r="M484" i="1"/>
  <c r="M130" i="1"/>
  <c r="M167" i="1"/>
  <c r="M190" i="1"/>
  <c r="M569" i="1"/>
  <c r="M377" i="1"/>
  <c r="M290" i="1"/>
  <c r="M289" i="1"/>
  <c r="M525" i="1"/>
  <c r="M407" i="1"/>
  <c r="M359" i="1"/>
  <c r="M358" i="1"/>
  <c r="M256" i="1"/>
  <c r="M234" i="1"/>
  <c r="M217" i="1"/>
  <c r="M216" i="1"/>
  <c r="M57" i="1"/>
  <c r="M171" i="1"/>
  <c r="M189" i="1"/>
  <c r="M188" i="1"/>
  <c r="M198" i="1"/>
  <c r="M199" i="1"/>
  <c r="M291" i="1"/>
  <c r="M148" i="1"/>
  <c r="M18" i="1"/>
  <c r="M17" i="1"/>
  <c r="M505" i="1"/>
  <c r="M70" i="1"/>
  <c r="M194" i="1"/>
  <c r="M232" i="1"/>
  <c r="M260" i="1"/>
  <c r="M380" i="1"/>
  <c r="M211" i="1"/>
  <c r="M128" i="1"/>
  <c r="M177" i="1"/>
  <c r="M538" i="1"/>
  <c r="M53" i="1"/>
  <c r="M554" i="1"/>
  <c r="M545" i="1"/>
  <c r="M251" i="1"/>
  <c r="M339" i="1"/>
  <c r="M179" i="1"/>
  <c r="M56" i="1"/>
  <c r="M158" i="1"/>
  <c r="M518" i="1"/>
  <c r="M178" i="1"/>
  <c r="M504" i="1"/>
  <c r="M319" i="1"/>
  <c r="M31" i="1"/>
  <c r="M36" i="1"/>
  <c r="M35" i="1"/>
  <c r="M39" i="1"/>
  <c r="M37" i="1"/>
  <c r="M38" i="1"/>
  <c r="M34" i="1"/>
  <c r="M30" i="1"/>
  <c r="M33" i="1"/>
  <c r="M32" i="1"/>
  <c r="M342" i="1"/>
  <c r="M174" i="1"/>
  <c r="M381" i="1"/>
  <c r="M80" i="1"/>
  <c r="M160" i="1"/>
  <c r="M392" i="1"/>
  <c r="M151" i="1"/>
  <c r="M565" i="1"/>
  <c r="M397" i="1"/>
  <c r="M228" i="1"/>
  <c r="M555" i="1"/>
  <c r="M274" i="1"/>
  <c r="M173" i="1"/>
  <c r="M226" i="1"/>
  <c r="M229" i="1"/>
  <c r="M411" i="1"/>
  <c r="M575" i="1"/>
  <c r="M269" i="1"/>
  <c r="M561" i="1"/>
  <c r="M560" i="1"/>
  <c r="M29" i="1"/>
  <c r="M241" i="1"/>
  <c r="M161" i="1"/>
  <c r="M477" i="1"/>
  <c r="M502" i="1"/>
  <c r="M64" i="1"/>
  <c r="M282" i="1"/>
  <c r="M283" i="1"/>
  <c r="M469" i="1"/>
  <c r="M181" i="1"/>
  <c r="M183" i="1"/>
  <c r="M182" i="1"/>
  <c r="M240" i="1"/>
  <c r="M249" i="1"/>
  <c r="M288" i="1"/>
  <c r="M578" i="1"/>
  <c r="M404" i="1"/>
  <c r="M405" i="1"/>
  <c r="M498" i="1"/>
  <c r="M287" i="1"/>
  <c r="M457" i="1"/>
  <c r="M242" i="1"/>
  <c r="M231" i="1"/>
  <c r="M19" i="1"/>
  <c r="M451" i="1"/>
  <c r="M421" i="1"/>
  <c r="M76" i="1"/>
  <c r="M468" i="1"/>
  <c r="M507" i="1"/>
  <c r="M143" i="1"/>
  <c r="M239" i="1"/>
  <c r="M467" i="1"/>
  <c r="M180" i="1"/>
  <c r="M278" i="1"/>
  <c r="M277" i="1"/>
  <c r="M558" i="1"/>
  <c r="M284" i="1"/>
  <c r="M365" i="1"/>
  <c r="M175" i="1"/>
  <c r="M20" i="1"/>
  <c r="M267" i="1"/>
  <c r="M46" i="1"/>
  <c r="M352" i="1"/>
  <c r="M353" i="1"/>
  <c r="M114" i="1"/>
  <c r="M412" i="1"/>
  <c r="M410" i="1"/>
  <c r="M409" i="1"/>
  <c r="M415" i="1"/>
  <c r="M414" i="1"/>
  <c r="M464" i="1"/>
  <c r="M293" i="1"/>
  <c r="M370" i="1"/>
  <c r="M281" i="1"/>
  <c r="M388" i="1"/>
  <c r="M248" i="1"/>
  <c r="M304" i="1"/>
  <c r="M341" i="1"/>
  <c r="M116" i="1"/>
  <c r="M482" i="1"/>
  <c r="M452" i="1"/>
  <c r="M476" i="1"/>
  <c r="M331" i="1"/>
  <c r="M218" i="1"/>
  <c r="M157" i="1"/>
  <c r="M367" i="1"/>
  <c r="M366" i="1"/>
  <c r="M354" i="1"/>
  <c r="M355" i="1"/>
  <c r="M294" i="1"/>
  <c r="M295" i="1"/>
  <c r="M506" i="1"/>
  <c r="M286" i="1"/>
  <c r="M279" i="1"/>
  <c r="M268" i="1"/>
  <c r="M276" i="1"/>
  <c r="M479" i="1"/>
  <c r="M351" i="1"/>
  <c r="M389" i="1"/>
  <c r="M491" i="1"/>
  <c r="M348" i="1"/>
  <c r="M375" i="1"/>
  <c r="M299" i="1"/>
  <c r="M302" i="1"/>
  <c r="M310" i="1"/>
  <c r="M402" i="1"/>
  <c r="M393" i="1"/>
  <c r="M292" i="1"/>
  <c r="M285" i="1"/>
  <c r="M139" i="1"/>
  <c r="M385" i="1"/>
  <c r="M340" i="1"/>
  <c r="M557" i="1"/>
  <c r="M350" i="1"/>
  <c r="M332" i="1"/>
  <c r="M371" i="1"/>
  <c r="M311" i="1"/>
  <c r="M387" i="1"/>
  <c r="M144" i="1"/>
  <c r="M298" i="1"/>
  <c r="M343" i="1"/>
  <c r="M483" i="1"/>
  <c r="M238" i="1"/>
  <c r="M480" i="1"/>
  <c r="M478" i="1"/>
  <c r="M113" i="1"/>
  <c r="M579" i="1"/>
  <c r="M303" i="1"/>
  <c r="M379" i="1"/>
  <c r="M330" i="1"/>
  <c r="M386" i="1"/>
  <c r="M49" i="1"/>
  <c r="M247" i="1"/>
  <c r="M338" i="1"/>
  <c r="M376" i="1"/>
  <c r="M296" i="1"/>
  <c r="M112" i="1"/>
  <c r="M111" i="1"/>
  <c r="M136" i="1"/>
  <c r="M138" i="1"/>
  <c r="M137" i="1"/>
  <c r="M564" i="1"/>
  <c r="M378" i="1"/>
  <c r="M357" i="1"/>
  <c r="M300" i="1"/>
  <c r="M364" i="1"/>
  <c r="M363" i="1"/>
  <c r="M362" i="1"/>
  <c r="M356" i="1"/>
  <c r="M51" i="1"/>
  <c r="M562" i="1"/>
  <c r="M54" i="1"/>
  <c r="M481" i="1"/>
  <c r="M115" i="1"/>
  <c r="M237" i="1"/>
  <c r="M110" i="1"/>
  <c r="M270" i="1"/>
  <c r="M109" i="1"/>
  <c r="M544" i="1"/>
  <c r="M176" i="1"/>
  <c r="M577" i="1"/>
  <c r="M246" i="1"/>
</calcChain>
</file>

<file path=xl/sharedStrings.xml><?xml version="1.0" encoding="utf-8"?>
<sst xmlns="http://schemas.openxmlformats.org/spreadsheetml/2006/main" count="4431" uniqueCount="1903">
  <si>
    <t>LOCATION</t>
  </si>
  <si>
    <t>LOT #</t>
  </si>
  <si>
    <t>BOL #</t>
  </si>
  <si>
    <t>CATEGORY</t>
  </si>
  <si>
    <t>SUBCATEGORY</t>
  </si>
  <si>
    <t>RETURN TYPE</t>
  </si>
  <si>
    <t># OF PALLETS</t>
  </si>
  <si>
    <t># OF CARTONS</t>
  </si>
  <si>
    <t>WEIGHT</t>
  </si>
  <si>
    <t>TOTAL ORIGINAL RETAIL</t>
  </si>
  <si>
    <t># OF UNITS</t>
  </si>
  <si>
    <t>TEXTILES</t>
  </si>
  <si>
    <t>STORE STOCK</t>
  </si>
  <si>
    <t>TOTAL:</t>
  </si>
  <si>
    <t>CLIENT COST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</si>
  <si>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</si>
  <si>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</si>
  <si>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</si>
  <si>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</si>
  <si>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</si>
  <si>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</si>
  <si>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</si>
  <si>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</si>
  <si>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</si>
  <si>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</si>
  <si>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</si>
  <si>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</si>
  <si>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86569897060</t>
  </si>
  <si>
    <t>JLA Home Madison Park Signature Hollywo White Queen</t>
  </si>
  <si>
    <t>MPS10-310</t>
  </si>
  <si>
    <t>WHITE</t>
  </si>
  <si>
    <t>MOD BEDDING</t>
  </si>
  <si>
    <t>JLA HOME/E &amp; E CO LTD</t>
  </si>
  <si>
    <t>IMPORTED</t>
  </si>
  <si>
    <t>COMFORTER/SHAM FACE - POLYESTER JACQUARD, COMFORTER BACK - POLYESTER MICRO FIBER, STANDARD SHAM BACK - POLYESTER SOLID JACQUARD, COMFORTER FILL - 10 OSY, POLYESTER, EURO SHAM - COTTON VELVET WITH EMBROIDERY ON FACE</t>
  </si>
  <si>
    <t>883893628687</t>
  </si>
  <si>
    <t>VELVET QUILT-</t>
  </si>
  <si>
    <t>USHSGR1125089</t>
  </si>
  <si>
    <t>GRAY</t>
  </si>
  <si>
    <t>YOUNG CL HOME</t>
  </si>
  <si>
    <t>VERA WANG/REVMAN INTERNATIONAL INC</t>
  </si>
  <si>
    <t>COTTON, POLYESTER FILL</t>
  </si>
  <si>
    <t>706795741349</t>
  </si>
  <si>
    <t>Exclusive Fabrics Furnishing Exclusive Fabrics Furnishing Light Beig 100 x 108</t>
  </si>
  <si>
    <t>VPCH-VET160405-108</t>
  </si>
  <si>
    <t>LT BEIGE</t>
  </si>
  <si>
    <t>NO SIZE</t>
  </si>
  <si>
    <t>DEC PILL/THRW</t>
  </si>
  <si>
    <t>EXCLUSIVE FABRICS &amp; FURNISHINGS LLC</t>
  </si>
  <si>
    <t>100% POLYESTER</t>
  </si>
  <si>
    <t>883893593343</t>
  </si>
  <si>
    <t>Tommy Bahama Home Sunrise Stripe Burnt Coral Com Orange Queen</t>
  </si>
  <si>
    <t>USHSA31097617</t>
  </si>
  <si>
    <t>ORANGE</t>
  </si>
  <si>
    <t>TRAD TXTL COL</t>
  </si>
  <si>
    <t>TOMMY BAHAMA/REVMAN INT'L</t>
  </si>
  <si>
    <t>100% COTTON</t>
  </si>
  <si>
    <t>840444128751</t>
  </si>
  <si>
    <t>Chic Home Chic Home Dinah 24-Pc. King Be Grey King</t>
  </si>
  <si>
    <t>CS2875-MC</t>
  </si>
  <si>
    <t>KGCOMFORTE</t>
  </si>
  <si>
    <t>CHIC HOME DESIGN LLC</t>
  </si>
  <si>
    <t>FABRIC: 100% POLYESTER MICROFIBERFILL: 100% POLYESTER</t>
  </si>
  <si>
    <t>886087341775</t>
  </si>
  <si>
    <t>Lauren Ralph Lauren Spencer Matelasse King Coverl Solid Dark Chocolate King</t>
  </si>
  <si>
    <t>BROWN</t>
  </si>
  <si>
    <t>LAUREN BEDDNG</t>
  </si>
  <si>
    <t>LAUREN BY RL/RALPH LAUREN HOME COLL</t>
  </si>
  <si>
    <t>POLYESTER/COTTON</t>
  </si>
  <si>
    <t>843145106806</t>
  </si>
  <si>
    <t>Chic Home Chic Home Emily 20-Pc. Queen B Coral Queen</t>
  </si>
  <si>
    <t>BCS06806</t>
  </si>
  <si>
    <t>LT/PAS ORG</t>
  </si>
  <si>
    <t>QNCOMFORTE</t>
  </si>
  <si>
    <t>FABRIC POLYESTER MICROFIBERFILL POLYESTER</t>
  </si>
  <si>
    <t>846339080425</t>
  </si>
  <si>
    <t>J Queen New York J Queen New York Astoria Queen White Queen</t>
  </si>
  <si>
    <t>2236020QCS</t>
  </si>
  <si>
    <t>J QUEEN NEW YORK INC</t>
  </si>
  <si>
    <t>POLYESTER; POLYESTER FILL</t>
  </si>
  <si>
    <t>840444131478</t>
  </si>
  <si>
    <t>Chic Home Chic Home Mayan 24-Pc. Queen B Grey Queen</t>
  </si>
  <si>
    <t>CS3147-MC</t>
  </si>
  <si>
    <t>679610824001</t>
  </si>
  <si>
    <t>Riverbrook Home Riverbrook Home Kenetic 9 Piec Natural Queen</t>
  </si>
  <si>
    <t>NATURAL</t>
  </si>
  <si>
    <t>HALLMART COLLECTIBLES INC</t>
  </si>
  <si>
    <t>25521670839</t>
  </si>
  <si>
    <t>Calvin Klein Medium Warmth Down FullQueen White FullQueen</t>
  </si>
  <si>
    <t>DOWN COMFORTR</t>
  </si>
  <si>
    <t>CALVIN KLEIN/HOLLANDER SLEEP</t>
  </si>
  <si>
    <t>MADE IN USA OF IMPORTED MATERIALS</t>
  </si>
  <si>
    <t>COTTON; WHITE DOWN FILL</t>
  </si>
  <si>
    <t>86569272232</t>
  </si>
  <si>
    <t>Urban Habitat Urban Habitat Auden 5-Piece Ki Aqua KingCalifornia King</t>
  </si>
  <si>
    <t>UH10-2283</t>
  </si>
  <si>
    <t>TURQ/AQUA</t>
  </si>
  <si>
    <t>COTTON WITH POLYESTER FILLING</t>
  </si>
  <si>
    <t>788904224615</t>
  </si>
  <si>
    <t>Blue Ridge 1000 Thread Count Egyptian Cot White King</t>
  </si>
  <si>
    <t>KING</t>
  </si>
  <si>
    <t>PILLWS&amp;PADS</t>
  </si>
  <si>
    <t>BLUE RIDGE HOME FASHIONS</t>
  </si>
  <si>
    <t>1000-THREAD COUNT EGYPTIAN COTTON; DOWN FILL</t>
  </si>
  <si>
    <t>86569330055</t>
  </si>
  <si>
    <t>Madison Park Madison Park Mariana 7 Piece K Multi King</t>
  </si>
  <si>
    <t>MP10-7091</t>
  </si>
  <si>
    <t>675716507909</t>
  </si>
  <si>
    <t>Madison Park Madison Park Quebec 3-Pc King Ivory King</t>
  </si>
  <si>
    <t>MP13-709</t>
  </si>
  <si>
    <t>POLYESTER; BEDSPREAD FILL: COTTON/POLYESTER</t>
  </si>
  <si>
    <t>675716624910</t>
  </si>
  <si>
    <t>Madison Park Madison Park Quebec 3-Pc King Khaki King</t>
  </si>
  <si>
    <t>MP13-1566</t>
  </si>
  <si>
    <t>BEIGEKHAKI</t>
  </si>
  <si>
    <t>675716979980</t>
  </si>
  <si>
    <t>Madison Park Aubrey 12-Pc. Queen Comforter Navy Queen</t>
  </si>
  <si>
    <t>MP10-4695</t>
  </si>
  <si>
    <t>NAVY</t>
  </si>
  <si>
    <t>COMFORTER, SHAMS, BEDSKIRT AND DECORATIVE PILLOWS: POLYESTER; COMFORTER FILL: POLYESTER 270 GRAMS PER SQUARE METER; DECORATIVE PILLOW FILL: POLYESTER; SHEETS: COTTON; THREAD COUNT: 200</t>
  </si>
  <si>
    <t>86569030382</t>
  </si>
  <si>
    <t>Madison Park Madison Park Odette King 8 Pie Silver King</t>
  </si>
  <si>
    <t>MP10-5886</t>
  </si>
  <si>
    <t>SILVER</t>
  </si>
  <si>
    <t>COMFORTER/SHAM - POLYESTER JACQUARD WITH DAMASK STRIA TEXTURE, POLYESTER MICROFIBER REVERSE, DECORATIVE PILLOW/EURO SHAM/BEDSKIRT DROP - CHARMEUSE, BEDSKIRT PLATFORM - POLYESTER, COMFORTER/DECORATIVE PILLOW FILL - 100% POLYESTER</t>
  </si>
  <si>
    <t>675716821739</t>
  </si>
  <si>
    <t>Madison Park Rhapsody 7-Pc. King Comforter Grey King</t>
  </si>
  <si>
    <t>MP10-3397</t>
  </si>
  <si>
    <t>COMFORTER/SHAM/BEDSKIRT (PLATFORM AND DROP)/PILLOW: POLYESTER; COMFORTER FILL: POLYESTER 270 GRAMS PER SQUARE METER; PILLOW FILL: POLYESTER</t>
  </si>
  <si>
    <t>86569000859</t>
  </si>
  <si>
    <t>Urban Habitat Urban Habitat Larisa 7-Pc King Blush KingCalifornia King</t>
  </si>
  <si>
    <t>UH13-2142</t>
  </si>
  <si>
    <t>MED PINK</t>
  </si>
  <si>
    <t>COTTON; COVERLET FILL: COTTON; DECORATIVE PILLOW FILL: POLYESTER</t>
  </si>
  <si>
    <t>800298615470</t>
  </si>
  <si>
    <t>DKNY DKNY Modern Velvet 50 x 96 C Aqua 50x96</t>
  </si>
  <si>
    <t>WED111513L09</t>
  </si>
  <si>
    <t>CHF INDUSTRIES INC</t>
  </si>
  <si>
    <t>800298615463</t>
  </si>
  <si>
    <t>DKNY DKNY Modern Velvet 50 x 96 C Champagne 50x96</t>
  </si>
  <si>
    <t>WED111293L09</t>
  </si>
  <si>
    <t>800298615425</t>
  </si>
  <si>
    <t>DKNY DKNY Modern Velvet 50 x 108 Champagne 50x108</t>
  </si>
  <si>
    <t>WED111293L08</t>
  </si>
  <si>
    <t>BODY: COTTON/RAYON; LINING: POLYESTER/COTTON;</t>
  </si>
  <si>
    <t>843145110315</t>
  </si>
  <si>
    <t>Chic Home Chic Home Hannah 10-Pc. King C Burgundy King</t>
  </si>
  <si>
    <t>BCS10315</t>
  </si>
  <si>
    <t>WINE</t>
  </si>
  <si>
    <t>840444147349</t>
  </si>
  <si>
    <t>Chic Home Chic Home Hannah 10-Pc. King C Off-white King</t>
  </si>
  <si>
    <t>CS4734MC</t>
  </si>
  <si>
    <t>BGEOVERFLW</t>
  </si>
  <si>
    <t>675716698331</t>
  </si>
  <si>
    <t>Madison Park Amherst 7-Pc. King Comforter S Navy King</t>
  </si>
  <si>
    <t>MP10-2208</t>
  </si>
  <si>
    <t>COMFORTER, BEDSKIRT, SHAMS AND DECORATIVE PILLOWS: POLYESTER; COMFORTER AND DECORATIVE PILLOW FILL: POLYESTER</t>
  </si>
  <si>
    <t>675716510398</t>
  </si>
  <si>
    <t>Madison Park Quincy 7-Pc. King Comforter Se Khaki King</t>
  </si>
  <si>
    <t>MP10-759</t>
  </si>
  <si>
    <t>COTTON/POLYESTER; FILLING: POLYESTER</t>
  </si>
  <si>
    <t>675716534943</t>
  </si>
  <si>
    <t>Madison Park Kannapali 7-Pc. California Kin Green California King</t>
  </si>
  <si>
    <t>MP10-927</t>
  </si>
  <si>
    <t>YELLOW</t>
  </si>
  <si>
    <t>COMFORTER/SHAM: COTTON, REVERSES TO COTTON/POLYESTER THREAD COUNT: 200, REVERSES TO 180; PILLOW: POLYESTER THREAD COUNT: 180; BEDSKIRT: COTTON/POLYESTER THREAD COUNT: 180; COMFORTER FILL: POLYESTER 270 GRAMS PER SQUARE METER; PILLOW FILL: POLYESTER</t>
  </si>
  <si>
    <t>86569184979</t>
  </si>
  <si>
    <t>JLA Home Zara Queen 16 Piece Jacquard C Brown Queen</t>
  </si>
  <si>
    <t>MPE10-795</t>
  </si>
  <si>
    <t>COMFORTER/SHAM/EURO SHAM/BEDSKIRT/SHEET SET: POLYESTER MICROFIBER, COMFORTER WITH POLYESTER FILLING; DECORATIVE PILLOW: POLYESTER COVER WITH POLYESTER FILLING</t>
  </si>
  <si>
    <t>840053024277</t>
  </si>
  <si>
    <t>Better Trends Rio Queen Bedspread Pink</t>
  </si>
  <si>
    <t>SS-BSRQUPI</t>
  </si>
  <si>
    <t>PINK</t>
  </si>
  <si>
    <t>BETTER TRENDS LLC</t>
  </si>
  <si>
    <t>675716534998</t>
  </si>
  <si>
    <t>Madison Park Trinity Charmeuse 7-Pc. King C Taupe King</t>
  </si>
  <si>
    <t>MP10-932</t>
  </si>
  <si>
    <t>COMFORTER: POLYESTER; FILL: POLYESTERSHAM: POLYESTERBEDSKIRT: POLYESTER PILLOW: POLYESTER COVER; FILL: POLYESTER</t>
  </si>
  <si>
    <t>86569066466</t>
  </si>
  <si>
    <t>Madison Park Emory 7-Pc. King Comforter Set Grey King</t>
  </si>
  <si>
    <t>MP10-5530</t>
  </si>
  <si>
    <t>COMFORTER/SHAM: COTTON, REVERSES TO COTTON/POLYESTER; THREAD COUNT: 200, REVERSES TO 132; PILLOW: COTTON/POLYESTER; POLYESTER FILL</t>
  </si>
  <si>
    <t>675716843021</t>
  </si>
  <si>
    <t>Madison Park Rosie 6-Pc. KingCalifornia Ki Grey KingCalifornia King</t>
  </si>
  <si>
    <t>MP13-3640</t>
  </si>
  <si>
    <t>COVERLET/SHAM: COTTON, REVERSES TO COTTON/POLYESTER; PILLOW: COTTON/POLYESTER; COVERLET FILL: COTTON/POLYESTER; PILLOW FILL: POLYESTER</t>
  </si>
  <si>
    <t>675716438166</t>
  </si>
  <si>
    <t>Madison Park Baxter 7-Pc. King Comforter Se Blue King</t>
  </si>
  <si>
    <t>MP10-349</t>
  </si>
  <si>
    <t>COMFORTER AND SHAMS: POLYESTER; BEDSKIRT DROP: COTTON; BEDSKIRT PLATFORM: POLYPROPYLENE; DECORATIVE PILLOWS: POLYESTER; POLYESTER FILL; COMFORTER FILL: POLYESTER 270 GRAMS PER SQUARE METER</t>
  </si>
  <si>
    <t>38992003174</t>
  </si>
  <si>
    <t>Waterford Waterford Vaughn 50 x 87 Pol Navygold 50x87</t>
  </si>
  <si>
    <t>CNVGHNW4181184P</t>
  </si>
  <si>
    <t>108 DBL</t>
  </si>
  <si>
    <t>WATERFORD/W-C HOME FASHIONS LLC</t>
  </si>
  <si>
    <t>POLYESTER; COTTON/POLYESTER LINING</t>
  </si>
  <si>
    <t>843145110421</t>
  </si>
  <si>
    <t>Chic Home Chic Home Hannah 10-Pc. Queen Navy Queen</t>
  </si>
  <si>
    <t>BCS10421</t>
  </si>
  <si>
    <t>POLYESTER</t>
  </si>
  <si>
    <t>811098030462</t>
  </si>
  <si>
    <t>Puredown Puredown Lightweight Comforter White King</t>
  </si>
  <si>
    <t>PD DC15016 K</t>
  </si>
  <si>
    <t>ST JAMES HOME INC</t>
  </si>
  <si>
    <t>SHELL - 100 % COTTON, STUFFING - DOWN, FEATHER</t>
  </si>
  <si>
    <t>679610773477</t>
  </si>
  <si>
    <t>Riverbrook Home Kacy 5 Pc King Comforter Set Graphiteblack King</t>
  </si>
  <si>
    <t>FIBER: 100% POLYESTER, FILLING: 100% POLYESTER</t>
  </si>
  <si>
    <t>41808940723</t>
  </si>
  <si>
    <t>Jessica Simpson Jessica Simpson Antara 3-Piece Clay FullQueen</t>
  </si>
  <si>
    <t>A075418CLEDS</t>
  </si>
  <si>
    <t>MED ORANGE</t>
  </si>
  <si>
    <t>PEKING HANDICRAFT INC</t>
  </si>
  <si>
    <t>COTTON</t>
  </si>
  <si>
    <t>679610824049</t>
  </si>
  <si>
    <t>Riverbrook Home Riverbrook Home Ridgely 7 Piec Baby Blue Queen</t>
  </si>
  <si>
    <t>LT/PASBLUE</t>
  </si>
  <si>
    <t>675716361488</t>
  </si>
  <si>
    <t>Madison Park Lola 7-Pc. Queen Comforter Set Yellow Queen</t>
  </si>
  <si>
    <t>MP10-173</t>
  </si>
  <si>
    <t>COMFORTER/SHAM: COTTON, REVERSES TO COTTON/POLYESTER; BEDSKIRT (DROP)/PILLOW: COTTON/POLYESTER; BEDSKIRT (PLATFORM): POLYESTER; PILLOW FILL: POLYESTER; COMFORTER FILL: POLYESTER</t>
  </si>
  <si>
    <t>675716547844</t>
  </si>
  <si>
    <t>Madison Park Arctic 3-Pc. KingCalifornia K Ivory California King</t>
  </si>
  <si>
    <t>BASI10-0255</t>
  </si>
  <si>
    <t>FACE, BACK, AND FILLING: POLYESTER</t>
  </si>
  <si>
    <t>800298681772</t>
  </si>
  <si>
    <t>DKNY Woven Stripe King Duvet Ivoryblack King</t>
  </si>
  <si>
    <t>2OK000394DVJ</t>
  </si>
  <si>
    <t>NEO COLLECTNS</t>
  </si>
  <si>
    <t>DONNA KARAN HOME/CHF INDUSTRIES</t>
  </si>
  <si>
    <t>86569223692</t>
  </si>
  <si>
    <t>Madison Park Veronica KingCalifornia King GreyWhite KingCalifornia King</t>
  </si>
  <si>
    <t>MP13-6397</t>
  </si>
  <si>
    <t>COTTON CHENILLE WITH TUFTED TECHNIQUE</t>
  </si>
  <si>
    <t>675716510145</t>
  </si>
  <si>
    <t>Madison Park Donovan 7-Pc. Medallion Jacqua Red Queen</t>
  </si>
  <si>
    <t>MP10-749</t>
  </si>
  <si>
    <t>RED</t>
  </si>
  <si>
    <t>675716642419</t>
  </si>
  <si>
    <t>Madison Park Medina 8-Pc. Queen Comforter S Navy Queen</t>
  </si>
  <si>
    <t>MP10-1658</t>
  </si>
  <si>
    <t>COMFORTER/SHAM/EUROPEAN SHAM/BEDSKIRT (PLATFORM AND DROP)/PILLOW: POLYESTER; COMFORTER FILL: POLYESTER 270 GRAMS PER SQUARE METER; PILLOW FILL: POLYESTER</t>
  </si>
  <si>
    <t>675716709952</t>
  </si>
  <si>
    <t>Madison Park Essentials Serenity 9-Pc. Cali Taupe California King</t>
  </si>
  <si>
    <t>MPE10-154</t>
  </si>
  <si>
    <t>COMFORTER/SHAM/BEDSKIRT: POLYESTER 85 GRAMS PER SQUARE METER; PILLOW (COVER): POLYESTER; SHEETS: COTTON; THREAD COUNT: 180; PILLOW FILL: POLYESTER; COMFORTER FILL: POLYESTER 250 GRAMS PER SQUARE METER</t>
  </si>
  <si>
    <t>675716809508</t>
  </si>
  <si>
    <t>Madison Park Madison Park Harper Velvet 3-P Ivory KingCalifornia King</t>
  </si>
  <si>
    <t>MP13-3302</t>
  </si>
  <si>
    <t>FABRIC: POLYESTER; COVERLET FILL: COTTON/POLYESTER/OTHER 85 GSM</t>
  </si>
  <si>
    <t>86569100689</t>
  </si>
  <si>
    <t>Urban Habitat 198 Multi Twin</t>
  </si>
  <si>
    <t>UHK10-0090</t>
  </si>
  <si>
    <t>COTTON, POLYESTER</t>
  </si>
  <si>
    <t>675716455316</t>
  </si>
  <si>
    <t>Madison Park Laurel 7-Pc. King Comforter Se Ivory King</t>
  </si>
  <si>
    <t>MP10-433</t>
  </si>
  <si>
    <t>675716584580</t>
  </si>
  <si>
    <t>Madison Park Serene 7-Pc. Queen Comforter S Spice Queen</t>
  </si>
  <si>
    <t>MP10-1366</t>
  </si>
  <si>
    <t>COMFORTER/SHAM/BEDSKIRT (DROP AND PLATFORM)/PILLOW: POLYESTER; COMFORTER FILL: POLYESTER; PILLOW FILL: POLYESTER</t>
  </si>
  <si>
    <t>800298659351</t>
  </si>
  <si>
    <t>DKNY DKNY PURE City Linen 50 x 84 Linen 50x84</t>
  </si>
  <si>
    <t>WEP112192W0G</t>
  </si>
  <si>
    <t>100% LINEN, LINED WITH 100% COTTON</t>
  </si>
  <si>
    <t>848742082270</t>
  </si>
  <si>
    <t>Lush Decor Rosalie 54 x 108 Lace Trim C Light Gray 54x108</t>
  </si>
  <si>
    <t>16T003928</t>
  </si>
  <si>
    <t>LT/PAS GRY</t>
  </si>
  <si>
    <t>LUSH DECOR/TRIANGLE HOME FASHIONS</t>
  </si>
  <si>
    <t>POLYESTER, COTTON, LINEN</t>
  </si>
  <si>
    <t>86569171252</t>
  </si>
  <si>
    <t>Madison Park Amaya KingCalifornia King 3 P Ivory KingCalifornia King</t>
  </si>
  <si>
    <t>MP10-6160</t>
  </si>
  <si>
    <t>COMFORTER/SHAM: 100% COTTON SEERSUCKER WITH TASSELS, 100% COTTON REVERSE, COMFORTER WITH POLYESTER FILLING</t>
  </si>
  <si>
    <t>810025013127</t>
  </si>
  <si>
    <t>Malouf Zoned TllyLtx K HLFT F White King</t>
  </si>
  <si>
    <t>ZZKKHFLX</t>
  </si>
  <si>
    <t>MALOUF/CVB INC</t>
  </si>
  <si>
    <t>COVER: POLYESTER, RAYON FROM BAMBOO. FILL: LATEX FOAM RUBBER</t>
  </si>
  <si>
    <t>733001362982</t>
  </si>
  <si>
    <t>Martha Stewart Collection LAST ACT Medallion Tufted Vel Ivory FullQueen</t>
  </si>
  <si>
    <t>100106021FQ</t>
  </si>
  <si>
    <t>PB SEASON BED</t>
  </si>
  <si>
    <t>MARTHA STEWART-MMG/COLLECTION 43417</t>
  </si>
  <si>
    <t>675716710101</t>
  </si>
  <si>
    <t>Madison Park Corrine 3-Piece Quilted Queen White Queen</t>
  </si>
  <si>
    <t>MP13-2354</t>
  </si>
  <si>
    <t>BEDSPREAD/SHAM: POLYESTER; BEDSPREAD FILL: COTTON/POLYESTER/OTHER FIBERS 240 GRAMS PER SQUARE METER</t>
  </si>
  <si>
    <t>86569195821</t>
  </si>
  <si>
    <t>Madison Park Bahari KingCalifornia King 3 White KingCalifornia King</t>
  </si>
  <si>
    <t>MP12-6224</t>
  </si>
  <si>
    <t>86569926982</t>
  </si>
  <si>
    <t>Madison Park Arya 3-Pc. KingCalifornia Kin Ivory KingCalifornia King</t>
  </si>
  <si>
    <t>MP10-5059</t>
  </si>
  <si>
    <t>FABRIC: POLYESTER; POLYESTER FILL</t>
  </si>
  <si>
    <t>675716748036</t>
  </si>
  <si>
    <t>Madison Park Pebble Beach 6-Pc. FullQueen Coral FullQueen</t>
  </si>
  <si>
    <t>MP13-2709</t>
  </si>
  <si>
    <t>LT/PASPINK</t>
  </si>
  <si>
    <t>COVERLET/SHAM: COTTON, REVERSES TO COTTON/POLYESTER; THREAD COUNT: 210 (FACE); PILLOW: COTTON/POLYESTER; COVERLET FILL: COTTON/POLYESTER/OTHER 240 GRAMS PER SQUARE METER; PILLOW FILL: POLYESTER</t>
  </si>
  <si>
    <t>675716752651</t>
  </si>
  <si>
    <t>Madison Park Madison Park Dawn 6-Piece Full Blue FullQueen</t>
  </si>
  <si>
    <t>MP13-2801</t>
  </si>
  <si>
    <t>COVERLET AND SHAM FACE: COTTON; COTTON/POLYESTER REVERSE; DECORATIVE PILLOWS: COTTON/POLYESTER; POLYESTER FILL; COVERLET FILL: COTTON/POLYESTER/OTHER FIBERS 240 GRAMS PER SQUARE METER</t>
  </si>
  <si>
    <t>91116714257</t>
  </si>
  <si>
    <t>Sanders Pom-Pom Twin 6 Piece Comforter Grey Twin</t>
  </si>
  <si>
    <t>PMMCST1</t>
  </si>
  <si>
    <t>COZY HOME FASHION/SANDER SALES ENT</t>
  </si>
  <si>
    <t>675716784164</t>
  </si>
  <si>
    <t>Madison Park Zuri 4-Pc. King Comforter Set Tan King</t>
  </si>
  <si>
    <t>MP10-3073</t>
  </si>
  <si>
    <t>MED BEIGE</t>
  </si>
  <si>
    <t>FABRIC: POLYESTER 260 GSM, REVERSES TO 180 GSM; COMFORTER/PILLOW FILL: POLYESTER</t>
  </si>
  <si>
    <t>675716490652</t>
  </si>
  <si>
    <t>Madison Park Madison Park Keaton 3-Piece Ki Khaki KingCalifornia King</t>
  </si>
  <si>
    <t>MP13-630</t>
  </si>
  <si>
    <t>MICROFIBER FROM POLYESTER; COVERLET FILL: COTTON/POLYESTER/OTHER 85 GSM</t>
  </si>
  <si>
    <t>679610793451</t>
  </si>
  <si>
    <t>Riverbrook Home Janna 8pc Queen Comforter Set Orange Queen</t>
  </si>
  <si>
    <t>DARKORANGE</t>
  </si>
  <si>
    <t>FIBER: 100% POLYESTER EXCLUSIVE OF DECORATION, FILLING: 100% POLYESTER</t>
  </si>
  <si>
    <t>840008318154</t>
  </si>
  <si>
    <t>Lucid 2 Bamboo Charcoal Memory Foam Grey Queen</t>
  </si>
  <si>
    <t>DC20QQ30BT</t>
  </si>
  <si>
    <t>CHARCOAL</t>
  </si>
  <si>
    <t>MEMORY FOAM</t>
  </si>
  <si>
    <t>25695977604</t>
  </si>
  <si>
    <t>Lauren Ralph Lauren Lauren Ralph Lauren Color Down Blue Fog FullQueen</t>
  </si>
  <si>
    <t>97760-DCOM</t>
  </si>
  <si>
    <t>LAUREN RALPH LAUREN/HOLLANDER SLEEP</t>
  </si>
  <si>
    <t>636189913864</t>
  </si>
  <si>
    <t>Lucky Brand Diamond Tuft Queen Bed Cover White Queen</t>
  </si>
  <si>
    <t>10129903QN</t>
  </si>
  <si>
    <t>CLSD-LKY BEDD</t>
  </si>
  <si>
    <t>LUCKY - MMG</t>
  </si>
  <si>
    <t>848742082317</t>
  </si>
  <si>
    <t>Lush Decor Rosalie 54 x 95 Lace Trim Cu Navy 54x95</t>
  </si>
  <si>
    <t>16T003932</t>
  </si>
  <si>
    <t>POLYESTER,COTTON,RAYONNE</t>
  </si>
  <si>
    <t>883893606449</t>
  </si>
  <si>
    <t>Stone Cottage Thea king Duvet Cover Set Natural King</t>
  </si>
  <si>
    <t>USHSFN1104417</t>
  </si>
  <si>
    <t>STONE COTTAGE/REVMAN INTERNATIONAL</t>
  </si>
  <si>
    <t>675716320232</t>
  </si>
  <si>
    <t>Madison Park Amherst 6-Pc. KingCalifornia Khaki KingCalifornia King</t>
  </si>
  <si>
    <t>MP12-125</t>
  </si>
  <si>
    <t>DUVET AND SHAMS: POLYESTER; DECORATIVE PILLOWS: POLYESTER; POLYESTER FILL</t>
  </si>
  <si>
    <t>675716279349</t>
  </si>
  <si>
    <t>Madison Park Amherst 6-Pc. KingCalifornia Blue KingCalifornia King</t>
  </si>
  <si>
    <t>MP12-046</t>
  </si>
  <si>
    <t>675716689001</t>
  </si>
  <si>
    <t>Madison Park Madison Park Luna 6-Piece Full Taupe FullQueen</t>
  </si>
  <si>
    <t>MP13-2122</t>
  </si>
  <si>
    <t>LT/PAS BWN</t>
  </si>
  <si>
    <t>COVERLET/SHAM/PILLOW SHELL: POLYESTER; COVERLET FILL: COTTON/POLYESTER/OTHER 200 GRAMS PER SQUARE METER</t>
  </si>
  <si>
    <t>86569027672</t>
  </si>
  <si>
    <t>Madison Park Madison Park Lillian FullQuee White FullQueen</t>
  </si>
  <si>
    <t>MP10-5860</t>
  </si>
  <si>
    <t>COMFORTER/SHAM - 180TC COTTON PERCALE WITH TASSEL-TRIMMED EDGES, COTTON/POLYESTER REVERSE, COMFORTER FILL - 100% POLYESTER</t>
  </si>
  <si>
    <t>675716585563</t>
  </si>
  <si>
    <t>Madison Park Madison Park Quebec 3-Piece Ki White KingCalifornia King</t>
  </si>
  <si>
    <t>MP13-1372</t>
  </si>
  <si>
    <t>675716438814</t>
  </si>
  <si>
    <t>Madison Park Madison Park Quebec 3-Piece Ki Yellow KingCalifornia King</t>
  </si>
  <si>
    <t>MP13-365</t>
  </si>
  <si>
    <t>784851507221</t>
  </si>
  <si>
    <t>Elegant Comfort Elegant Comfort 1200 Thread Co White KingCalifornia King</t>
  </si>
  <si>
    <t>COTTON KING WHITE CO</t>
  </si>
  <si>
    <t>ELEGANT COMFORT/BESPOLITAN INC</t>
  </si>
  <si>
    <t>883893594463</t>
  </si>
  <si>
    <t>INK BOTANICAL SHAM Q-</t>
  </si>
  <si>
    <t>USHSGZ1100072</t>
  </si>
  <si>
    <t>86569299895</t>
  </si>
  <si>
    <t>Madison Park Essentials Madison Park Essentials Sofia Blue California King</t>
  </si>
  <si>
    <t>MPE10-882</t>
  </si>
  <si>
    <t>844928036709</t>
  </si>
  <si>
    <t>Protect-A-Bed Protect-A-Bed King Cool Cotton White King</t>
  </si>
  <si>
    <t>COJ0142</t>
  </si>
  <si>
    <t>PROTECT-A-BED/JAB DISTRIBUTORS LLC</t>
  </si>
  <si>
    <t>MAIN PANEL: COTTON/POLYESTER; LINING: POLYURETHANE LAMINATE; SKIRT: POLYESTER, EXCLUSIVE OF ELASTIC.</t>
  </si>
  <si>
    <t>814740024789</t>
  </si>
  <si>
    <t>Nanshing Nanshing Rome 6 Piece Comforte Taupe Queen</t>
  </si>
  <si>
    <t>DAPHNE6-Q-TAUP</t>
  </si>
  <si>
    <t>NANSHING AMERICA INC</t>
  </si>
  <si>
    <t>679610819045</t>
  </si>
  <si>
    <t>Riverbrook Home Riverbrook Home Lyndon 3 Piece Seafoam King</t>
  </si>
  <si>
    <t>LT/PAS GRN</t>
  </si>
  <si>
    <t>840444104762</t>
  </si>
  <si>
    <t>Chic Home Chic Home Woodside 7-Pc. King Yellow King</t>
  </si>
  <si>
    <t>QS1758-BIB-MC</t>
  </si>
  <si>
    <t>FABRIC: 100% POLYESTER MICROFIBER, FILL: 100% POLYESTER</t>
  </si>
  <si>
    <t>675716455309</t>
  </si>
  <si>
    <t>Madison Park Laurel 7-Pc. Queen Comforter S Ivory Queen</t>
  </si>
  <si>
    <t>MP10-432</t>
  </si>
  <si>
    <t>675716675301</t>
  </si>
  <si>
    <t>Madison Park Bismarck Reversible 3-Pc. Full Grey FullQueen</t>
  </si>
  <si>
    <t>MP10-2003</t>
  </si>
  <si>
    <t>42075554927</t>
  </si>
  <si>
    <t>John Robshaw JOHN ROBSHAW SAHASA SHOWER CUR Grey ONE SIZE</t>
  </si>
  <si>
    <t>3-106507GY</t>
  </si>
  <si>
    <t>BATH RUGS/ACC</t>
  </si>
  <si>
    <t>86569212719</t>
  </si>
  <si>
    <t>Madison Park Zennia FullQueen 7 Piece Prin Blue FullQueen</t>
  </si>
  <si>
    <t>MP10-6303</t>
  </si>
  <si>
    <t>COMFORTER/SHAM: POLYESTER SEERSUCKER FACE, POLYESTER MICROFIBER BACK; COMFORTER WITH POLYESTER FILLING; EURO SHAM: POLYESTER MICROFIBER; DECORATIVE PILLOW: POLYESTER MICROFIBER COVER WITH POLYESTER FILLING; THROW BLANKET: ARYLIC</t>
  </si>
  <si>
    <t>848742083864</t>
  </si>
  <si>
    <t>Lush Decor Botanical Garden Room Darkenin Navy 52x84</t>
  </si>
  <si>
    <t>16T004101</t>
  </si>
  <si>
    <t>675716546779</t>
  </si>
  <si>
    <t>Madison Park Madison Park Tuscany 3-Pc Full Ivory FullQueen</t>
  </si>
  <si>
    <t>MP13-1035</t>
  </si>
  <si>
    <t>MICROFIBER FROM POLYESTER; COVERLET FILL: COTTON, POLYESTER</t>
  </si>
  <si>
    <t>86569171276</t>
  </si>
  <si>
    <t>MP12-6162</t>
  </si>
  <si>
    <t>DUVET COVER/SHAM: 100% COTTON SEERSUCKER WITH TASSELS, 100% COTTON REVERSE</t>
  </si>
  <si>
    <t>85214109176</t>
  </si>
  <si>
    <t>NoJo Happy Little Clouds 5-Pc. Crib Blue ONE SIZE</t>
  </si>
  <si>
    <t>NOJO BABY &amp; KIDS INC</t>
  </si>
  <si>
    <t>732998408635</t>
  </si>
  <si>
    <t>Martha Stewart Collection Reversible Diamond Floral Patc White FullQueen</t>
  </si>
  <si>
    <t>100082693FQ</t>
  </si>
  <si>
    <t>646998692621</t>
  </si>
  <si>
    <t>Martha Stewart Collection Martha Stewart Lucca Velvet 50 Green 50x95</t>
  </si>
  <si>
    <t>1-20120AGR</t>
  </si>
  <si>
    <t>GREEN</t>
  </si>
  <si>
    <t>40X84/7</t>
  </si>
  <si>
    <t>646998692638</t>
  </si>
  <si>
    <t>Martha Stewart Collection Martha Stewart Lucca Velvet 50 Linen 50x95</t>
  </si>
  <si>
    <t>1-20120ALE</t>
  </si>
  <si>
    <t>646998692751</t>
  </si>
  <si>
    <t>Martha Stewart Collection Monroe Metallic 84 Backtab Cu Blush 50x84</t>
  </si>
  <si>
    <t>1-20140GBH</t>
  </si>
  <si>
    <t>843145111633</t>
  </si>
  <si>
    <t>Chic Home Chic Home Kaiah 3-Pc. Queen Co Coral Queen</t>
  </si>
  <si>
    <t>BCS11633</t>
  </si>
  <si>
    <t>86569045751</t>
  </si>
  <si>
    <t>Madison Park Madison Park Laetitia FullQue Ivory FullQueen</t>
  </si>
  <si>
    <t>MP12-5978</t>
  </si>
  <si>
    <t>DUVET/SHAM - 100% COTTON</t>
  </si>
  <si>
    <t>86569045799</t>
  </si>
  <si>
    <t>Madison Park Madison Park Laetitia FullQue Grey FullQueen</t>
  </si>
  <si>
    <t>MP12-5982</t>
  </si>
  <si>
    <t>843567113123</t>
  </si>
  <si>
    <t>B. Smith B. Smith Kincaid Blackout Grom Navy 52x96</t>
  </si>
  <si>
    <t>NEF91-96NVY711</t>
  </si>
  <si>
    <t>LUX&amp;LIVING/SILK HOME INC</t>
  </si>
  <si>
    <t>886087296693</t>
  </si>
  <si>
    <t>Lauren Ralph Lauren Graydon Melange Knit 18 Squa Chambray And Indigo</t>
  </si>
  <si>
    <t>12 SGL</t>
  </si>
  <si>
    <t>86569004888</t>
  </si>
  <si>
    <t>510 Design 510 Design Shawnee California Seafoam California King</t>
  </si>
  <si>
    <t>5DS10-0052</t>
  </si>
  <si>
    <t>COMFORTER/SHAM/BEDSKIRT DROP/DECORATIVE PILLOW/EURO SHAM - 85GSM POLYESTER MICROFIBER, BEDSKIRT PLATFORM - POLYPROPYLENE NON-WOVEN FABRIC, COMFORTER/DECORATIVE PILLOW FILL - 100% POLYESTER</t>
  </si>
  <si>
    <t>706795731371</t>
  </si>
  <si>
    <t>Exclusive Fabrics Furnishing Exclusive Fabrics Furnishing Kerala Blue 50 x 84</t>
  </si>
  <si>
    <t>PRTW-D41-84</t>
  </si>
  <si>
    <t>DARK BLUE</t>
  </si>
  <si>
    <t>675716320591</t>
  </si>
  <si>
    <t>Madison Park Madison Park Quebec 3-Piece Fu Seafoam FullQueen</t>
  </si>
  <si>
    <t>MP13-153</t>
  </si>
  <si>
    <t>MICROFIBER FROM 100% POLYESTER; COVERLET FILL: 90% COTTON, 5% PLYESTER,5% OTHER FIBERS</t>
  </si>
  <si>
    <t>848742079775</t>
  </si>
  <si>
    <t>Lush Decor Lydia Ruffle 95x40 Window Pa White ONE SIZE</t>
  </si>
  <si>
    <t>16T003667</t>
  </si>
  <si>
    <t>675716998547</t>
  </si>
  <si>
    <t>Urban Habitat Kids Lola 5-Pc. FullQueen Cov Purple FullQueen</t>
  </si>
  <si>
    <t>UHK13-0053</t>
  </si>
  <si>
    <t>PURPLE</t>
  </si>
  <si>
    <t>COVERLET/SHAM/PILLOW SHELL: COTTON; COVERLET FILL: COTTON/OTHER FIBERS; PILLOW FILL: POLYESTER</t>
  </si>
  <si>
    <t>840008316778</t>
  </si>
  <si>
    <t>Lucid 2 Convoluted Gel Topper, Quee Blue Queen</t>
  </si>
  <si>
    <t>DC20QQ30CSGT</t>
  </si>
  <si>
    <t>840008317911</t>
  </si>
  <si>
    <t>Lucid Dream Collection by LUCID 5-Zo Purple Queen</t>
  </si>
  <si>
    <t>DC20QQ30ZT</t>
  </si>
  <si>
    <t>64247026711</t>
  </si>
  <si>
    <t>Exclusive Home Exclusive Home Aztec IndoorOu Silver 54x120</t>
  </si>
  <si>
    <t>EH8394 54X120</t>
  </si>
  <si>
    <t>EXCLUSIVE HOME/AMALGAMATED TEXTILES</t>
  </si>
  <si>
    <t>85214124704</t>
  </si>
  <si>
    <t>NoJo Safari Moon and Stars 3-Piece Blue</t>
  </si>
  <si>
    <t>4211276R</t>
  </si>
  <si>
    <t>86569076045</t>
  </si>
  <si>
    <t>JLA Home 102 Blue</t>
  </si>
  <si>
    <t>UH10-2214</t>
  </si>
  <si>
    <t>100% COTTON JERSEY KNIT FABRIC</t>
  </si>
  <si>
    <t>800298683233</t>
  </si>
  <si>
    <t>DKNY Spring Blossom 50 x 96 Polet Teal 50x96</t>
  </si>
  <si>
    <t>WMD953573W09</t>
  </si>
  <si>
    <t>783048057839</t>
  </si>
  <si>
    <t>Style 212 Style 212 Carlyle 12 Piece Bed Blue Queen</t>
  </si>
  <si>
    <t>BIB2706BLQN-00</t>
  </si>
  <si>
    <t>PEM AMERICA INC</t>
  </si>
  <si>
    <t>783048050922</t>
  </si>
  <si>
    <t>Oceanfront Resort Oceanfront Resort Reef Point P White And Blue FullQueen</t>
  </si>
  <si>
    <t>CS2358FQ-1500</t>
  </si>
  <si>
    <t>COMFORTER AND SHAM FACE IS MADE FROM A 100% COTTON FABRIC AND THE ITEM IS FILLED WITH 100% POLYESTER.</t>
  </si>
  <si>
    <t>608356220143</t>
  </si>
  <si>
    <t>Charter Club Damask Stripe Supima Cotton 55 Winter Pine Green King</t>
  </si>
  <si>
    <t>DLDSTKGSPNE</t>
  </si>
  <si>
    <t>DARK GREEN</t>
  </si>
  <si>
    <t>CC MOD BEDDNG</t>
  </si>
  <si>
    <t>CHARTER CLUB-EDI/RWI/VTX</t>
  </si>
  <si>
    <t>ALL COTTON</t>
  </si>
  <si>
    <t>42075544263</t>
  </si>
  <si>
    <t>Microsculpt Microsculpt Medallion FullQue Blush FullQueen</t>
  </si>
  <si>
    <t>2-8645C3BH</t>
  </si>
  <si>
    <t>BRYAN KEITH/CHF INDUSTRIES</t>
  </si>
  <si>
    <t>847636038829</t>
  </si>
  <si>
    <t>Mytex Alexandra Floral 10-PieceReve Brown FullQueen</t>
  </si>
  <si>
    <t>ALEXANDRA10PC-FQ</t>
  </si>
  <si>
    <t>MYTEX LLC</t>
  </si>
  <si>
    <t>86569004819</t>
  </si>
  <si>
    <t>510 Design 510 Design Ramsey Queen Embroi Neutral Queen</t>
  </si>
  <si>
    <t>5DS10-0047</t>
  </si>
  <si>
    <t>86569300720</t>
  </si>
  <si>
    <t>Intelligent Design Raina 5-Pc. FullQueen Comfort Whitesilver FullQueen</t>
  </si>
  <si>
    <t>ID10-1818</t>
  </si>
  <si>
    <t>COVER AND FILLING: POLYESTER</t>
  </si>
  <si>
    <t>86569349620</t>
  </si>
  <si>
    <t>JLA Home CLOSEOUT Urban Habitat Otto 5 Gray FullQueen</t>
  </si>
  <si>
    <t>UH10-2329</t>
  </si>
  <si>
    <t>64247002777</t>
  </si>
  <si>
    <t>Nicole Miller Nicole Miller Turion Floral Bl Natural ONE SIZE</t>
  </si>
  <si>
    <t>EN7029 52X84</t>
  </si>
  <si>
    <t>83/84 DBL</t>
  </si>
  <si>
    <t>883893606012</t>
  </si>
  <si>
    <t>LUSTER SHAM QLT-</t>
  </si>
  <si>
    <t>USHSGZ1103826</t>
  </si>
  <si>
    <t>883893628106</t>
  </si>
  <si>
    <t>SHADOW STRIPE SHAM N-</t>
  </si>
  <si>
    <t>USHSGY1124444</t>
  </si>
  <si>
    <t>646998692386</t>
  </si>
  <si>
    <t>Martha Stewart Collection Martha Stewart Bedford Woven P White 50x95</t>
  </si>
  <si>
    <t>1-20080AWT</t>
  </si>
  <si>
    <t>646998692379</t>
  </si>
  <si>
    <t>Martha Stewart Collection Martha Stewart Bedford Woven P Linen 50x95</t>
  </si>
  <si>
    <t>1-20080ALE</t>
  </si>
  <si>
    <t>883893628694</t>
  </si>
  <si>
    <t>VELVET SHAM QLT-</t>
  </si>
  <si>
    <t>USHSGZ1125104</t>
  </si>
  <si>
    <t>883893533783</t>
  </si>
  <si>
    <t>LUSTER SHAM QLT- BASIC</t>
  </si>
  <si>
    <t>883893578050</t>
  </si>
  <si>
    <t>Jonathan Adler Oliver King Duvet Cover Set Charcoal King</t>
  </si>
  <si>
    <t>USHSFN1078242</t>
  </si>
  <si>
    <t>JONATHAN ADLER/REVMAN INTERNATIONAL</t>
  </si>
  <si>
    <t>86569224682</t>
  </si>
  <si>
    <t>JLA Home 251 White Queen</t>
  </si>
  <si>
    <t>5DS10-0215</t>
  </si>
  <si>
    <t>842164001918</t>
  </si>
  <si>
    <t>Fairfield Square Collection Essex Sateen 1200-Thread Count Ivory King</t>
  </si>
  <si>
    <t>20102104003AQT</t>
  </si>
  <si>
    <t>SHEETS &amp;CASES</t>
  </si>
  <si>
    <t>AQ TEXTILES</t>
  </si>
  <si>
    <t>842164001901</t>
  </si>
  <si>
    <t>Fairfield Square Collection Essex Sateen 1200-Thread Count Light Green King</t>
  </si>
  <si>
    <t>20102104002AQT</t>
  </si>
  <si>
    <t>642472107193</t>
  </si>
  <si>
    <t>Exclusive Home Exclusive Home Delano Heavywei Natural 54x96</t>
  </si>
  <si>
    <t>EH817054X96</t>
  </si>
  <si>
    <t>807000231294</t>
  </si>
  <si>
    <t>ORGANIC DOBBY SHST</t>
  </si>
  <si>
    <t>ZORLU USA INC</t>
  </si>
  <si>
    <t>MADE IN CHINA</t>
  </si>
  <si>
    <t>ORGANIC COTTON</t>
  </si>
  <si>
    <t>848742068915</t>
  </si>
  <si>
    <t>Lush Decor Lydia Ruffle 40 x 84 Curtain Gray 40x84</t>
  </si>
  <si>
    <t>16T002455</t>
  </si>
  <si>
    <t>848742069073</t>
  </si>
  <si>
    <t>Lush Decor Lush Decor 84 x 52 Blackout Wheat 52x84</t>
  </si>
  <si>
    <t>16T002469</t>
  </si>
  <si>
    <t>732998238010</t>
  </si>
  <si>
    <t>Charter Club Damask Cotton 210-Thread Count Perriwinkle King</t>
  </si>
  <si>
    <t>100083278KG</t>
  </si>
  <si>
    <t>FABRIC: COTTON/POLYESTER</t>
  </si>
  <si>
    <t>849986037477</t>
  </si>
  <si>
    <t>Sleep Trends Sleep Trends Defend-A-Bed Delu White King</t>
  </si>
  <si>
    <t>MP0002-1160</t>
  </si>
  <si>
    <t>CLASSIC BRANDS LLC</t>
  </si>
  <si>
    <t>811960000142</t>
  </si>
  <si>
    <t>Protect-A-Bed Protect-A-Bed King Premium Cot White King</t>
  </si>
  <si>
    <t>P0142</t>
  </si>
  <si>
    <t>KGMATTRESS</t>
  </si>
  <si>
    <t>COTTON/POLYESTER</t>
  </si>
  <si>
    <t>875647000320</t>
  </si>
  <si>
    <t>Ella Jayne Soft Plush Gel Fiber Filled Al White Standard</t>
  </si>
  <si>
    <t>BMI7889L1</t>
  </si>
  <si>
    <t>SINGLE</t>
  </si>
  <si>
    <t>ELLA JAYNE/PILLOW GUY INC</t>
  </si>
  <si>
    <t>MADE IN USA</t>
  </si>
  <si>
    <t>SHELL: 220 THREAD COUNT POLYESTER MICROFIBER, FILL: 100% POLY FIBER FINE GEL FIBERS</t>
  </si>
  <si>
    <t>86569004833</t>
  </si>
  <si>
    <t>JLA Home 510 Design Tinsley Queen 8 Pie Seafoamgr Queen</t>
  </si>
  <si>
    <t>5DS10-0053</t>
  </si>
  <si>
    <t>22415032148</t>
  </si>
  <si>
    <t>AllerEase Maximum Waterproof Allergy and White Queen</t>
  </si>
  <si>
    <t>AMERICAN TEXTILE</t>
  </si>
  <si>
    <t>675716811594</t>
  </si>
  <si>
    <t>Urban Habitat Sunita Cotton 7-Pc. KingCalif White KingCalifornia King</t>
  </si>
  <si>
    <t>UH12-0038</t>
  </si>
  <si>
    <t>DUVET/SHAM/EUROPEAN SHAM/PILLOW: COTTON; THREAD COUNT: 140; PILLOW FILL: POLYESTER</t>
  </si>
  <si>
    <t>886087295658</t>
  </si>
  <si>
    <t>Lauren Ralph Lauren Spencer Cotton Sateen Border K White Wheat King Sham</t>
  </si>
  <si>
    <t>735732548680</t>
  </si>
  <si>
    <t>VCNY Home VCNY Home Aria Tassel Pintuck White King</t>
  </si>
  <si>
    <t>AIA-3CS-KING-IN-WHIT</t>
  </si>
  <si>
    <t>TEXTILES-EUROPE INC</t>
  </si>
  <si>
    <t>646998692720</t>
  </si>
  <si>
    <t>Martha Stewart Collection Martha Stewart Park Avenue Met Silver 50x84</t>
  </si>
  <si>
    <t>1-20130GSV</t>
  </si>
  <si>
    <t>675716721794</t>
  </si>
  <si>
    <t>Intelligent Design Nina 5-Pc. FullQueen Comforte Multi FullQueen</t>
  </si>
  <si>
    <t>ID10-728</t>
  </si>
  <si>
    <t>COMFORTER/SHAM/PILLOW: POLYESTER; COMFORTER/PILLOW FILL: POLYESTER</t>
  </si>
  <si>
    <t>675716535452</t>
  </si>
  <si>
    <t>Intelligent Design Finn 5-Pc. FullQueen Comforte Blue FullQueen</t>
  </si>
  <si>
    <t>ID10-189</t>
  </si>
  <si>
    <t>COMFORTER/SHAM/PILLOW: POLYESTER; COMFORTER/SHAM FILL: POLYESTER 200 GRAMS PER SQUARE METER; PILLOW FILL: POLYESTER</t>
  </si>
  <si>
    <t>799695727599</t>
  </si>
  <si>
    <t>Exclusive Fabrics Furnishing Exclusive Fabrics Furnishing Blue 50 x 96</t>
  </si>
  <si>
    <t>BOCH-KC27C-96</t>
  </si>
  <si>
    <t>32281410964</t>
  </si>
  <si>
    <t>Lilo Stitch Lilo Stitch Aloha Stitch 5 Pie Multi Full</t>
  </si>
  <si>
    <t>JF41096</t>
  </si>
  <si>
    <t>DISNEY/JAY FRANCO &amp; SONS</t>
  </si>
  <si>
    <t>783048021137</t>
  </si>
  <si>
    <t>Truly Soft Truly Soft Pleated White King White King</t>
  </si>
  <si>
    <t>CS1969WTKG-1500</t>
  </si>
  <si>
    <t>BODY: POLYESTER;</t>
  </si>
  <si>
    <t>86569209207</t>
  </si>
  <si>
    <t>Intelligent Design Marsden Twin XL 6 Piece Comple Bluegrey Twin XL</t>
  </si>
  <si>
    <t>ID10-1730</t>
  </si>
  <si>
    <t>BLUE</t>
  </si>
  <si>
    <t>COMFORTER/SHAM/SHEET SET: POLYESTER MICROFIBER; COMFORTER WITH POLYESTER FILLING; DECORATIVE PILLOW: POLYESTER MICROFIBER COVER WITH POLYESTER FILLING</t>
  </si>
  <si>
    <t>732998408734</t>
  </si>
  <si>
    <t>Martha Stewart Collection Garden Floral FullQueen Quilt Blue FullQueen</t>
  </si>
  <si>
    <t>100082701FQ</t>
  </si>
  <si>
    <t>675716999223</t>
  </si>
  <si>
    <t>Urban Habitat Urban Habitat Talia 7-Pc Full Grey FullQueen</t>
  </si>
  <si>
    <t>UH12-2092</t>
  </si>
  <si>
    <t>DUVET COVER/SHAM: 80% POLYESTER, 20% COTTONPILLOW/EURO SHAM: 100% COTTON; DECORATIVE PILLOW FILL: 100% POLYESTER</t>
  </si>
  <si>
    <t>885308736581</t>
  </si>
  <si>
    <t>Eclipse Eclipse Caprese 52 x 95 Bl Espresso ONE SIZE</t>
  </si>
  <si>
    <t>15522052095ESP</t>
  </si>
  <si>
    <t>KEECO LLC/GRASSI ASSOCIATES INC</t>
  </si>
  <si>
    <t>675716760175</t>
  </si>
  <si>
    <t>Madison Park Zuri Reversible Oversized 96 Chocolate Throw</t>
  </si>
  <si>
    <t>MP50-2919</t>
  </si>
  <si>
    <t>MED BROWN</t>
  </si>
  <si>
    <t>635983499604</t>
  </si>
  <si>
    <t>Ella Jayne Overstuffed Plush MediumFirm White Queen</t>
  </si>
  <si>
    <t>BMI10191L2Q</t>
  </si>
  <si>
    <t>QUEEN</t>
  </si>
  <si>
    <t>SHELL: 220 THREAD COUNT POLYESTER MICROFIBER, FILL: 100% DOWN ALTERNATIVE FINE GEL FIBERS</t>
  </si>
  <si>
    <t>810026171017</t>
  </si>
  <si>
    <t>Cheer Collection Down Alternative Mattress Topp White King</t>
  </si>
  <si>
    <t>CC-ADMT-KG</t>
  </si>
  <si>
    <t>CHEER COLLECTION/DIGITALPRINTS USA</t>
  </si>
  <si>
    <t>MICROFIBER</t>
  </si>
  <si>
    <t>675716714789</t>
  </si>
  <si>
    <t>Madison Park Saratoga 100 x 84 Fretwork-P Seafoam 100x84</t>
  </si>
  <si>
    <t>MP40-2406</t>
  </si>
  <si>
    <t>MED GREEN</t>
  </si>
  <si>
    <t>FABRIC: POLYESTER/COTTON/RAYON</t>
  </si>
  <si>
    <t>711081314671</t>
  </si>
  <si>
    <t>Exclusive Fabrics Furnishing Exclusive Fabrics Furnishing Brown 50 x 108</t>
  </si>
  <si>
    <t>PRCT-VC1716-108</t>
  </si>
  <si>
    <t>675716909543</t>
  </si>
  <si>
    <t>Madison Park Liquid Cotton King Blanket Yellow King</t>
  </si>
  <si>
    <t>MP51N-4239</t>
  </si>
  <si>
    <t>PB BLANKETS</t>
  </si>
  <si>
    <t>191790038837</t>
  </si>
  <si>
    <t>AQ Textiles Luxura Home 650 thread count C Grey King</t>
  </si>
  <si>
    <t>25172104082AQT</t>
  </si>
  <si>
    <t>191790038813</t>
  </si>
  <si>
    <t>AQ Textiles Luxura Home 650 thread count C Grey Queen</t>
  </si>
  <si>
    <t>25172103082AQT</t>
  </si>
  <si>
    <t>191790038820</t>
  </si>
  <si>
    <t>AQ Textiles Luxura Home 650 thread count C Blue King</t>
  </si>
  <si>
    <t>25172104002AQT</t>
  </si>
  <si>
    <t>191790038448</t>
  </si>
  <si>
    <t>AQ Textiles Luxura Home 650 thread count C White Queen</t>
  </si>
  <si>
    <t>25172103001AQT</t>
  </si>
  <si>
    <t>191790038455</t>
  </si>
  <si>
    <t>AQ Textiles Luxura Home 650 thread count C White King</t>
  </si>
  <si>
    <t>25172104001AQT</t>
  </si>
  <si>
    <t>191790038806</t>
  </si>
  <si>
    <t>AQ Textiles Luxura Home 650 thread count C Blue Queen</t>
  </si>
  <si>
    <t>25172103002AQT</t>
  </si>
  <si>
    <t>86569896704</t>
  </si>
  <si>
    <t>Madison Park Edina 50 x 60 Faux-Fur Throw Ivory 50x60</t>
  </si>
  <si>
    <t>MP50-4826</t>
  </si>
  <si>
    <t>VALA78X7</t>
  </si>
  <si>
    <t>FAUX-FUR FACE: ACRYLIC/POLYESTER; FAUX-FUR REVERSE: POLYESTER</t>
  </si>
  <si>
    <t>23878358615</t>
  </si>
  <si>
    <t>Sobel Westex Baltic Linens Pure Elegance 6- Taupe NO SIZE</t>
  </si>
  <si>
    <t>TOWELS</t>
  </si>
  <si>
    <t>BALTIC LINEN COMPANY INC</t>
  </si>
  <si>
    <t>711081311748</t>
  </si>
  <si>
    <t>Exclusive Fabrics Furnishing Exclusive Fabrics Furnishing Light Beig 50 x 96</t>
  </si>
  <si>
    <t>PRCT-S02B-96-TT</t>
  </si>
  <si>
    <t>86569902702</t>
  </si>
  <si>
    <t>SunSmart Cassius 50 x 108 Marble Jacq Gold 50x108</t>
  </si>
  <si>
    <t>SS40-0006</t>
  </si>
  <si>
    <t>GOLD</t>
  </si>
  <si>
    <t>784851507023</t>
  </si>
  <si>
    <t>Elegant Comfort Elegant Comfort Luxury Super S White KingCalifornia King</t>
  </si>
  <si>
    <t>WHITE COMFORTER KING</t>
  </si>
  <si>
    <t>BESPOLITAN INC</t>
  </si>
  <si>
    <t>840970125026</t>
  </si>
  <si>
    <t>Cathay Home Inc. Premium Collection FullQueen Coral FullQueen</t>
  </si>
  <si>
    <t>108620-FQ-COR</t>
  </si>
  <si>
    <t>CATHAY HOME INC</t>
  </si>
  <si>
    <t>711081326636</t>
  </si>
  <si>
    <t>Exclusive Fabrics Furnishing Faux Linen 50 x 84 Blackout Light Beige 50 x 84</t>
  </si>
  <si>
    <t>BOCH-LN1857-84</t>
  </si>
  <si>
    <t>675716456030</t>
  </si>
  <si>
    <t>Madison Park Larkspur Reversible 3-Pc. King BlackGrey King</t>
  </si>
  <si>
    <t>BASI10-0203</t>
  </si>
  <si>
    <t>FABRIC: POLYESTER/ FILL: POLYESTER</t>
  </si>
  <si>
    <t>42437007856</t>
  </si>
  <si>
    <t>Kenney Weaver 1 Outdoor Window Curta Black 36-72in</t>
  </si>
  <si>
    <t>KN90000REM</t>
  </si>
  <si>
    <t>BLACK</t>
  </si>
  <si>
    <t>KENNEY MANUFACTURING COMPANY</t>
  </si>
  <si>
    <t>783048037435</t>
  </si>
  <si>
    <t>Truly Soft Truly Soft Everyday Hotel Bord White And Blush FullQueen</t>
  </si>
  <si>
    <t>DCS2182BSFQ7-00</t>
  </si>
  <si>
    <t>FABRIC/FILL: POLYESTER</t>
  </si>
  <si>
    <t>783048021427</t>
  </si>
  <si>
    <t>Truly Soft Truly Soft Pleated White Full Blush FullQueen</t>
  </si>
  <si>
    <t>CS1969BSFQ-1500</t>
  </si>
  <si>
    <t>COMFORTER AND SHAM FACE AND BACK CLOTH IS 100% BRUSHED MICROFIBER POLYESTER WITH POLYESTER FILLING.</t>
  </si>
  <si>
    <t>783048126429</t>
  </si>
  <si>
    <t>Brooklyn Loom Brooklyn Loom Jasper 3 Piece C Gray FullQueen</t>
  </si>
  <si>
    <t>CS3579FQ-1500</t>
  </si>
  <si>
    <t>883893504103</t>
  </si>
  <si>
    <t>Tommy Bahama Home Raffia Palms Textured Herringb Husk European Sham</t>
  </si>
  <si>
    <t>TOMMY BAHAMA/REVMAN INTERNATIONAL</t>
  </si>
  <si>
    <t>711081311731</t>
  </si>
  <si>
    <t>Exclusive Fabrics Furnishing Exclusive Fabrics Furnishing Light Beig 50 x 84</t>
  </si>
  <si>
    <t>PRCT-S02B-84-TT</t>
  </si>
  <si>
    <t>646998689492</t>
  </si>
  <si>
    <t>Curtainworks Kendall Blackout 50 in.W x 95 Ivorybeige 52x95</t>
  </si>
  <si>
    <t>1-80660AIV</t>
  </si>
  <si>
    <t>POLYESTER; LINING: POLYESTER</t>
  </si>
  <si>
    <t>636193541343</t>
  </si>
  <si>
    <t>Hotel Collection Piece Dye Set of 2 Standard Pi Natural Standard</t>
  </si>
  <si>
    <t>100027471SD</t>
  </si>
  <si>
    <t>HOTEL LUX BDG</t>
  </si>
  <si>
    <t>HOTEL BY C CLUB-EDI/RWI/FA</t>
  </si>
  <si>
    <t>LINEN</t>
  </si>
  <si>
    <t>675716568986</t>
  </si>
  <si>
    <t>Madison Park Sarasota 3-Pc. KingCalifornia Ivory KingCalifornia King</t>
  </si>
  <si>
    <t>MP10-1254</t>
  </si>
  <si>
    <t>190714377502</t>
  </si>
  <si>
    <t>Lacourte Chunky Heathered 50 x 60 Dec Natural 50x60</t>
  </si>
  <si>
    <t>1114392NAT50X60</t>
  </si>
  <si>
    <t>ENVOGUE INTERNATIONAL LLC</t>
  </si>
  <si>
    <t>86569005601</t>
  </si>
  <si>
    <t>Intelligent Design Raina 5-Pc. FullQueen Duvet C AquaSilver FullQueen</t>
  </si>
  <si>
    <t>ID12-1388</t>
  </si>
  <si>
    <t>FABRIC: POLYESTER; POLYESTER FILL 85 GSM</t>
  </si>
  <si>
    <t>194938008211</t>
  </si>
  <si>
    <t>Home Boutique CLOSEOUT 3-Piece Microfiber K Paris Floral King</t>
  </si>
  <si>
    <t>16T006508</t>
  </si>
  <si>
    <t>732998021100</t>
  </si>
  <si>
    <t>Charter Club Damask Designs Outline Cimaron Red Twin</t>
  </si>
  <si>
    <t>100058459TW</t>
  </si>
  <si>
    <t>RTCOMFORTE</t>
  </si>
  <si>
    <t>CHRT CLB DSGN</t>
  </si>
  <si>
    <t>CHARTER CLUB-EDI/RWI/LAMEIRINHO</t>
  </si>
  <si>
    <t>FABRIC: COTTON; THREAD COUNT: 300; POLYESTER FILL</t>
  </si>
  <si>
    <t>810001364557</t>
  </si>
  <si>
    <t>Southshore Fine Linens Southshore Fine Linens Oversiz Off White KingCalifornia King</t>
  </si>
  <si>
    <t>VIL-QLT-OW-K</t>
  </si>
  <si>
    <t>SOUTHSHORE FINE LIN/BARGAIN ONLINE</t>
  </si>
  <si>
    <t>DOUBLE - BRUSHED 110 GSM MICROFIBER</t>
  </si>
  <si>
    <t>86569005083</t>
  </si>
  <si>
    <t>510 Design 510 Design Otto KingCaliforni Grey KingCalifornia King</t>
  </si>
  <si>
    <t>5DS13-0025</t>
  </si>
  <si>
    <t>COVERLET/SHAM FABRIC - 75GSM POLYESTER MICROFIBER, COVERLET FILL - 100% POLYESTER</t>
  </si>
  <si>
    <t>841643135700</t>
  </si>
  <si>
    <t>Duck River Textile Wink 38 x 84 Butterfly Print Grey ONE SIZE</t>
  </si>
  <si>
    <t>WINK14217D-12</t>
  </si>
  <si>
    <t>DUCK RIVER TEXTILE</t>
  </si>
  <si>
    <t>86569288691</t>
  </si>
  <si>
    <t>Madison Park Amaya KingCalifornia King 3 P Grey KingCalifornia King</t>
  </si>
  <si>
    <t>MP10-6659</t>
  </si>
  <si>
    <t>726895066760</t>
  </si>
  <si>
    <t>Hotel Collection Diamond Stripe European Sham Grey European Sham</t>
  </si>
  <si>
    <t>1003974ER</t>
  </si>
  <si>
    <t>MED GRAY</t>
  </si>
  <si>
    <t>HOTEL COLLECTION-EDI/RWI/PACFUNG</t>
  </si>
  <si>
    <t>PIMA COTTON; DECORATION: POLYESTER</t>
  </si>
  <si>
    <t>732997143209</t>
  </si>
  <si>
    <t>Hotel Collection CLOSEOUT Hotel Collection Tex Grey No Size</t>
  </si>
  <si>
    <t>20X20</t>
  </si>
  <si>
    <t>HOTEL BY CC-EDI/RWI/SARITA HANDA</t>
  </si>
  <si>
    <t>887719142999</t>
  </si>
  <si>
    <t>Goodnight Sleep 1200 TC Cotton Poly 6-PC SS So White California King</t>
  </si>
  <si>
    <t>T1200SLDWHCK</t>
  </si>
  <si>
    <t>GOODFUL/WELSPUN USA INC</t>
  </si>
  <si>
    <t>711081330848</t>
  </si>
  <si>
    <t>Exclusive Fabrics Furnishing Blackout 50 x 96 Curtain Pan Medium Pink 50 x 96</t>
  </si>
  <si>
    <t>BOCH-171120-96</t>
  </si>
  <si>
    <t>840970141255</t>
  </si>
  <si>
    <t>Cathay Home Inc. Yarn Dyed TwinTwin XL Duvet C Chambray Blue TwinTwin XL</t>
  </si>
  <si>
    <t>917063-CHAM-T-TXL</t>
  </si>
  <si>
    <t>732995626858</t>
  </si>
  <si>
    <t>Hotel Collection Woodrose Cotton 400-Thread Cou Medium Pink King Sham</t>
  </si>
  <si>
    <t>100041751KG</t>
  </si>
  <si>
    <t>86569098092</t>
  </si>
  <si>
    <t>Intelligent Design Zoey FullQueen 5 Piece Metall Greysilver FullQueen</t>
  </si>
  <si>
    <t>ID12-1589</t>
  </si>
  <si>
    <t>734737425767</t>
  </si>
  <si>
    <t>Lacoste Home Solid Percale Queen Sheet Set Allure Blue Queen</t>
  </si>
  <si>
    <t>LACOSTE/SUNHAM HOME FASHIONS</t>
  </si>
  <si>
    <t>675716866334</t>
  </si>
  <si>
    <t>Madison Park Madison Park Pacifica 54 x 95 Navy 54x95</t>
  </si>
  <si>
    <t>MP40-3940</t>
  </si>
  <si>
    <t>100% POLYESTER WITH 3M SCOTCHGARD TREATMENT</t>
  </si>
  <si>
    <t>675716760373</t>
  </si>
  <si>
    <t>Madison Park Madison Park Pacifica 54 x 95 Taupe 54x95</t>
  </si>
  <si>
    <t>MP40-2893</t>
  </si>
  <si>
    <t>646998692515</t>
  </si>
  <si>
    <t>Martha Stewart Collection Martha Stewart Glacier 50 x 9 White 50x95</t>
  </si>
  <si>
    <t>1-20150AWT</t>
  </si>
  <si>
    <t>190052065574</t>
  </si>
  <si>
    <t>Superior Superior Leaves Textured Black Copper</t>
  </si>
  <si>
    <t>52X108CTLEAVESCO</t>
  </si>
  <si>
    <t>SUPERIOR/HOME CITY INC</t>
  </si>
  <si>
    <t>674811002753</t>
  </si>
  <si>
    <t>Lyndale Decor Lyndale Decor Regency Velvet R Gray 126 x 52</t>
  </si>
  <si>
    <t>REGENCY01-126</t>
  </si>
  <si>
    <t>LYNDALE INTERNATIONAL INC</t>
  </si>
  <si>
    <t>GROMMET- METAL, FABRIC- 100% POLYESTER</t>
  </si>
  <si>
    <t>674811000469</t>
  </si>
  <si>
    <t>Lyndale Decor Lyndale Decor Venus Room Darke Gray 126 x 54</t>
  </si>
  <si>
    <t>VENUS-126</t>
  </si>
  <si>
    <t>675716665692</t>
  </si>
  <si>
    <t>Madison Park Reversible Ruched Faux-Fur Thr Red 50x60</t>
  </si>
  <si>
    <t>MP50-1852</t>
  </si>
  <si>
    <t>FAUX-FUR FACE: POLYESTER; FAUX-FUR BACK: 220 GRAMS PER SQUARE METER POLYESTER</t>
  </si>
  <si>
    <t>735732103872</t>
  </si>
  <si>
    <t>VCNY Home Carmen 3-Pc. Ruched King Duvet Burgundy King</t>
  </si>
  <si>
    <t>CMN-3DV-KING-OV-BURG</t>
  </si>
  <si>
    <t>636047376763</t>
  </si>
  <si>
    <t>Greenland Home Fashions Olympia Window Panel Pair Multi</t>
  </si>
  <si>
    <t>GL-1706CWP</t>
  </si>
  <si>
    <t>BRNOVERFLW</t>
  </si>
  <si>
    <t>SINGLEWDW</t>
  </si>
  <si>
    <t>GREENLAND HOME FASHIONS</t>
  </si>
  <si>
    <t>26865997279</t>
  </si>
  <si>
    <t>Elrene Elrene Aurora 52 x 84 Single Pearl Gray 52x84</t>
  </si>
  <si>
    <t>24297PRY</t>
  </si>
  <si>
    <t>ELRENE HOME FASHIONS</t>
  </si>
  <si>
    <t>807709869491</t>
  </si>
  <si>
    <t>Dainty Home Dainty Home Rita Linen Look 76 Silver-Tone 76 x 84</t>
  </si>
  <si>
    <t>RITA7684SI</t>
  </si>
  <si>
    <t>BABY SIGNATURE DBA DAINTY HOME INC</t>
  </si>
  <si>
    <t>844353588996</t>
  </si>
  <si>
    <t>Rizzy Home Rizzy Home Boucle Textured Pol Red 20x20</t>
  </si>
  <si>
    <t>PILT05285RE002020</t>
  </si>
  <si>
    <t>RIZZY HOME/RIZTEX USA INC</t>
  </si>
  <si>
    <t>86569284051</t>
  </si>
  <si>
    <t>SunSmart Taylor 50 x 95 Diamond Jacqu Blue 50x95</t>
  </si>
  <si>
    <t>SS40-0124</t>
  </si>
  <si>
    <t>86569284112</t>
  </si>
  <si>
    <t>SunSmart Taylor 50 x 95 Diamond Jacqu Charcoal 50x95</t>
  </si>
  <si>
    <t>SS40-0130</t>
  </si>
  <si>
    <t>83013223215</t>
  </si>
  <si>
    <t>Croscill Crestwood Quilted King Sham White King Sham</t>
  </si>
  <si>
    <t>2A0-187O0-4203</t>
  </si>
  <si>
    <t>STDTAILOR</t>
  </si>
  <si>
    <t>EX-CELL HOME FASHIONS INC</t>
  </si>
  <si>
    <t>788904025106</t>
  </si>
  <si>
    <t>Blue Ridge 700 Thread Count Down Alternat Indigo King</t>
  </si>
  <si>
    <t>812156037577</t>
  </si>
  <si>
    <t>Exclusive Fabrics Furnishing Exclusive Fabrics Furnishing Beige 50 x 96</t>
  </si>
  <si>
    <t>CCLK-1804A-96</t>
  </si>
  <si>
    <t>885308345011</t>
  </si>
  <si>
    <t>Eclipse Arno Thermalayer Latte 52x84</t>
  </si>
  <si>
    <t>14704052084LAT</t>
  </si>
  <si>
    <t>783048024091</t>
  </si>
  <si>
    <t>Truly Soft Truly Soft Everyday Red and Gr Khaki And Ivory FullQueen</t>
  </si>
  <si>
    <t>CS1656KIFQ-17</t>
  </si>
  <si>
    <t>100% MICROFIBER FACE AND BACK. FILLED WITH 100% HYPOALLERGENIC POLYESTER.</t>
  </si>
  <si>
    <t>797734455434</t>
  </si>
  <si>
    <t>Exclusive Fabrics Furnishing Blackout 50 x 84 Curtain Pan Dark Brown 50 x 84</t>
  </si>
  <si>
    <t>BOCH-191016-84</t>
  </si>
  <si>
    <t>DARK BROWN</t>
  </si>
  <si>
    <t>883893550018</t>
  </si>
  <si>
    <t>Tommy Bahama Home Loredo Gardens Cotton Medium O Orange European Sham</t>
  </si>
  <si>
    <t>USHSGY1070374</t>
  </si>
  <si>
    <t>883893605725</t>
  </si>
  <si>
    <t>Tommy Bahama Home St. Armands European Sham White European Sham</t>
  </si>
  <si>
    <t>USHSGY1103211</t>
  </si>
  <si>
    <t>83013011973</t>
  </si>
  <si>
    <t>Croscill Rea European Sham Multi European Sham</t>
  </si>
  <si>
    <t>2A0-502O0-9943</t>
  </si>
  <si>
    <t>675716439255</t>
  </si>
  <si>
    <t>Mi Zone Tamil 4-Pc. FullQueen Duvet C Multi FullQueen</t>
  </si>
  <si>
    <t>MZ12-081</t>
  </si>
  <si>
    <t>DUVET COVER/SHAM/PILLOW COVER: POLYESTER; DUVET COVER/SHAM FILL: POLYESTER 200 GRAMS PER SQUARE METER; PILLOW FILL: POLYESTER</t>
  </si>
  <si>
    <t>191009055068</t>
  </si>
  <si>
    <t>Bloomingville White Pillow wMulticolor Loop Natural</t>
  </si>
  <si>
    <t>DA8145</t>
  </si>
  <si>
    <t>CREATIVE CO-OP INC</t>
  </si>
  <si>
    <t>675716760946</t>
  </si>
  <si>
    <t>Madison Park Newport Stripe 54 x 84 3M Sc BlueWhite 54x84</t>
  </si>
  <si>
    <t>MP40-2908</t>
  </si>
  <si>
    <t>726895498707</t>
  </si>
  <si>
    <t>Hotel Collection Plume European Sham White European Sham</t>
  </si>
  <si>
    <t>1008292ER</t>
  </si>
  <si>
    <t>675716780661</t>
  </si>
  <si>
    <t>Intelligent Design CLOSEOUT Clara 5-Pc. KingCal Blue KingCalifornia King</t>
  </si>
  <si>
    <t>ID14-908</t>
  </si>
  <si>
    <t>COVERLET SET: POLYESTER; COVERLET/SHAM FILL: COTTON/POLYESTER/OTHER 240 GRAMS PER SQUARE METER; PILLOW FILL: POLYESTER</t>
  </si>
  <si>
    <t>675716682750</t>
  </si>
  <si>
    <t>Madison Park Saratoga 50 x 108 Fretwork-P BeigeSpice 50x108</t>
  </si>
  <si>
    <t>MP40-2029</t>
  </si>
  <si>
    <t>POLYESTER/COTTON/RAYON</t>
  </si>
  <si>
    <t>86569150509</t>
  </si>
  <si>
    <t>Intelligent Design Raina Metallic-Print 50 x 84 Ivory 50x84</t>
  </si>
  <si>
    <t>ID40-1614</t>
  </si>
  <si>
    <t>675716957292</t>
  </si>
  <si>
    <t>Madison Park Harper 42 x 216 Solid Crushe White 42x216</t>
  </si>
  <si>
    <t>MP40-4511</t>
  </si>
  <si>
    <t>675716957308</t>
  </si>
  <si>
    <t>Madison Park Harper 42 x 216 Solid Crushe Taupe 42x216</t>
  </si>
  <si>
    <t>MP40-4513</t>
  </si>
  <si>
    <t>10482315790</t>
  </si>
  <si>
    <t>Fresh Ideas All-In-One Zippered Box spring White King</t>
  </si>
  <si>
    <t>FRE160XXWHIT04</t>
  </si>
  <si>
    <t>LEVINSOHN TEXTILE CO INC</t>
  </si>
  <si>
    <t>POLYETHYLENE/POLYPROPYLENE</t>
  </si>
  <si>
    <t>885308430434</t>
  </si>
  <si>
    <t>Eclipse Round Round Thermaweave Grey 52x108</t>
  </si>
  <si>
    <t>11049052108GRE</t>
  </si>
  <si>
    <t>735732907517</t>
  </si>
  <si>
    <t>VCNY Home Carmen 3-Pc. Ruched Queen Duve Grey Queen</t>
  </si>
  <si>
    <t>CMN-3DV-QUEN-OV-GREY</t>
  </si>
  <si>
    <t>846339091506</t>
  </si>
  <si>
    <t>J Queen New York J Queen Emerald Isle European Emerald Green European Sham</t>
  </si>
  <si>
    <t>2359156EURO</t>
  </si>
  <si>
    <t>883893605732</t>
  </si>
  <si>
    <t>Tommy Bahama Home St. Armands Seersucker Breakfa White 16x20</t>
  </si>
  <si>
    <t>USHSFY1103218</t>
  </si>
  <si>
    <t>97% COTTON, 3% SPANDEX</t>
  </si>
  <si>
    <t>675716573126</t>
  </si>
  <si>
    <t>Madison Park Madison Park Andora 50 x 95 Grey 50x95</t>
  </si>
  <si>
    <t>MP40-1298</t>
  </si>
  <si>
    <t>849657013014</t>
  </si>
  <si>
    <t>Rod Desyne Rod Desyne Luna Curtain Single Black 28-48in</t>
  </si>
  <si>
    <t>5710-282</t>
  </si>
  <si>
    <t>ROD DESYNE</t>
  </si>
  <si>
    <t>STEEL; RESIN FINIALS</t>
  </si>
  <si>
    <t>190052066618</t>
  </si>
  <si>
    <t>Superior Superior Soft Quality Woven, T Gray</t>
  </si>
  <si>
    <t>52X84CTTRECH</t>
  </si>
  <si>
    <t>693614011649</t>
  </si>
  <si>
    <t>Ella Jayne Waterproof and Hypoallergenic White Twin XL</t>
  </si>
  <si>
    <t>EJHMPWP1X</t>
  </si>
  <si>
    <t>645470156408</t>
  </si>
  <si>
    <t>Modern Threads 2 Pack Textured Black Out Curt Sage</t>
  </si>
  <si>
    <t>5BOJCQCR-LIN-ST</t>
  </si>
  <si>
    <t>BRIGHT GRN</t>
  </si>
  <si>
    <t>AMRAPUR OVERSEAS INC</t>
  </si>
  <si>
    <t>726895658958</t>
  </si>
  <si>
    <t>Charter Club Damask Designs Sketch Cotton 3 Peri Twin</t>
  </si>
  <si>
    <t>100037372TW</t>
  </si>
  <si>
    <t>MMG-CHARTER CLUB</t>
  </si>
  <si>
    <t>FABRIC: 100% COTTON; THREAD COUNT: 300</t>
  </si>
  <si>
    <t>734737474963</t>
  </si>
  <si>
    <t>Lacoste Home Solid Percale Full Sheet Set Plum Full</t>
  </si>
  <si>
    <t>DARKPURPLE</t>
  </si>
  <si>
    <t>COTTON PERCALE</t>
  </si>
  <si>
    <t>735732886904</t>
  </si>
  <si>
    <t>VCNY Home Carmen 3-Pc. Ruched Queen Duve White Queen</t>
  </si>
  <si>
    <t>CMN-3DV-QUEN-OV-WHIT</t>
  </si>
  <si>
    <t>675716841324</t>
  </si>
  <si>
    <t>Madison Park Averil 50 x 95 Sheer Burnout Grey 50x95</t>
  </si>
  <si>
    <t>MP40-3596</t>
  </si>
  <si>
    <t>FABRIC: RAYON/POLYESTER</t>
  </si>
  <si>
    <t>86569902856</t>
  </si>
  <si>
    <t>SunSmart Mirage 50 x 108 Damask Total Charcoal 50x108</t>
  </si>
  <si>
    <t>SS40-0021</t>
  </si>
  <si>
    <t>675716762674</t>
  </si>
  <si>
    <t>Madison Park Emilia 50 x 108 Lined Faux-S Teal 50x108</t>
  </si>
  <si>
    <t>MP40-2973</t>
  </si>
  <si>
    <t>FAKE-SILK FABRIC AND LINING: POLYESTER</t>
  </si>
  <si>
    <t>693614011540</t>
  </si>
  <si>
    <t>Ella Jayne Waterproof and Hypoallergenic White Twin</t>
  </si>
  <si>
    <t>EJHMPWP1</t>
  </si>
  <si>
    <t>RTMATTRESS</t>
  </si>
  <si>
    <t>29927473735</t>
  </si>
  <si>
    <t>Sun Zero Sun Zero Grant 100 x 84 Grom Stone 100x84</t>
  </si>
  <si>
    <t>S LICHTENBERG &amp; CO.</t>
  </si>
  <si>
    <t>29927440218</t>
  </si>
  <si>
    <t>Sun Zero Sun Zero Grant 100 x 84 Grom Taupe 100x84</t>
  </si>
  <si>
    <t>GRANT</t>
  </si>
  <si>
    <t>DARK BEIGE</t>
  </si>
  <si>
    <t>86569005021</t>
  </si>
  <si>
    <t>510 Design 510 Design Otto FullQueen 3 P Khaki FullQueen</t>
  </si>
  <si>
    <t>5DS13-0032</t>
  </si>
  <si>
    <t>732998006763</t>
  </si>
  <si>
    <t>Hotel Collection CLOSEOUT Hotel Collection Cla White European Sham</t>
  </si>
  <si>
    <t>100078182ER</t>
  </si>
  <si>
    <t>732998006749</t>
  </si>
  <si>
    <t>Hotel Collection CLOSEOUT Hotel Collection Cla White King Sham</t>
  </si>
  <si>
    <t>100078179KG</t>
  </si>
  <si>
    <t>841643105185</t>
  </si>
  <si>
    <t>Duck River Textile Bridgette 38 x 84 Faux Silk Blue-chocolate ONE SIZE</t>
  </si>
  <si>
    <t>BRIDGETTE12240D 12</t>
  </si>
  <si>
    <t>841643105208</t>
  </si>
  <si>
    <t>Duck River Textile Bridgette 38 x 84 Faux Silk Beige-mocha ONE SIZE</t>
  </si>
  <si>
    <t>BRIDGETTE12242D 12</t>
  </si>
  <si>
    <t>86569312167</t>
  </si>
  <si>
    <t>Intelligent Design Intelligent Design Marabella 3 Pink FullQueen</t>
  </si>
  <si>
    <t>ID13-1847</t>
  </si>
  <si>
    <t>COTTON WITH POLY FILL</t>
  </si>
  <si>
    <t>734737592650</t>
  </si>
  <si>
    <t>Fairfield Square Collection Estelle Merlot 8-Pc. Comforter Merlot</t>
  </si>
  <si>
    <t>20554022A</t>
  </si>
  <si>
    <t>SUNHAM CO USA</t>
  </si>
  <si>
    <t>ALL POLYESTER</t>
  </si>
  <si>
    <t>849657021590</t>
  </si>
  <si>
    <t>Rod Desyne Esta Pair of Curtain Holdbacks Black</t>
  </si>
  <si>
    <t>5714-032</t>
  </si>
  <si>
    <t>675716822453</t>
  </si>
  <si>
    <t>Madison Park Madison Park Quebec 20 x 20 White 20x20</t>
  </si>
  <si>
    <t>MP30-3405</t>
  </si>
  <si>
    <t>SHELL: POLYESTER; FILLING: COTTON</t>
  </si>
  <si>
    <t>675716822460</t>
  </si>
  <si>
    <t>Madison Park Madison Park Quebec 20 x 20 Ivory 20x20</t>
  </si>
  <si>
    <t>MP30-3406</t>
  </si>
  <si>
    <t>735732772528</t>
  </si>
  <si>
    <t>VCNY Home Krista Shrink Yark 38x84 Panel Charcoal 38x84</t>
  </si>
  <si>
    <t>R1S-PPR-7684-IN-CHAR</t>
  </si>
  <si>
    <t>VICTORIA/TEXTILES FROM EUROPE</t>
  </si>
  <si>
    <t>86569947659</t>
  </si>
  <si>
    <t>Madison Park Madison Park Solandis 72 x 72 Blue 72X72</t>
  </si>
  <si>
    <t>MP70-5194</t>
  </si>
  <si>
    <t>COTTON SATEEN</t>
  </si>
  <si>
    <t>732996465722</t>
  </si>
  <si>
    <t>Hotel Collection Classic Flourish Standard Sham TanBrown Standard Sham</t>
  </si>
  <si>
    <t>100061801SD</t>
  </si>
  <si>
    <t>10482315783</t>
  </si>
  <si>
    <t>Fresh Ideas All-In-One Zippered Box spring White Queen</t>
  </si>
  <si>
    <t>FRE160XXWHIT03</t>
  </si>
  <si>
    <t>646998693062</t>
  </si>
  <si>
    <t>Martha Stewart Collection Martha Stewart Laguna Stripe 3 Gray 37x84</t>
  </si>
  <si>
    <t>1-20180GGY</t>
  </si>
  <si>
    <t>22415657167</t>
  </si>
  <si>
    <t>Sealy 100 Cotton Extra Firm Support White Queen</t>
  </si>
  <si>
    <t>783048004567</t>
  </si>
  <si>
    <t>Truly Soft Truly Soft Everyday Red and Gr Navy To Burgundy FullQueen</t>
  </si>
  <si>
    <t>CS1656NBUFQ-00</t>
  </si>
  <si>
    <t>735732303593</t>
  </si>
  <si>
    <t>VCNY Home Winstead Printed 38X96 Panel P Burgundy 38x96</t>
  </si>
  <si>
    <t>W3T-PPR-7696-I2-BURG</t>
  </si>
  <si>
    <t>85% COTTON, 15% POLYESTER</t>
  </si>
  <si>
    <t>883893592087</t>
  </si>
  <si>
    <t>ED Ellen Degeneres Tulare European Sham Dark Grey European Sham</t>
  </si>
  <si>
    <t>USHSGY1096479</t>
  </si>
  <si>
    <t>DARK GRAY</t>
  </si>
  <si>
    <t>ELLEN DEGENERES/REVMAN INTERNATIONL</t>
  </si>
  <si>
    <t>732998775423</t>
  </si>
  <si>
    <t>Hotel Collection LAST ACT Hotel Collection Hon Mink King</t>
  </si>
  <si>
    <t>100090163KG</t>
  </si>
  <si>
    <t>HOTEL BY CHARTER CLUB-MMG</t>
  </si>
  <si>
    <t>675716846176</t>
  </si>
  <si>
    <t>Intelligent Design Adel 50x84 Printed Blackout W Yellow 50x84</t>
  </si>
  <si>
    <t>ID40-1014</t>
  </si>
  <si>
    <t>812499025422</t>
  </si>
  <si>
    <t>Casual Cushion Casual Cushion 18 Sunbrella P Spectrum Dove</t>
  </si>
  <si>
    <t>DS2858-3269</t>
  </si>
  <si>
    <t>CASUAL CUSHION CORP</t>
  </si>
  <si>
    <t>ACRYLIC</t>
  </si>
  <si>
    <t>844928000731</t>
  </si>
  <si>
    <t>Protect-A-Bed Basic Waterproof Fitted Sheet White Queen</t>
  </si>
  <si>
    <t>BAS0135</t>
  </si>
  <si>
    <t>QNMATTRESS</t>
  </si>
  <si>
    <t>MAIN PANEL: POLYESTER; LINING: POLYURETHANE LAMINATE; SKIRT: POLYESTER, EXCLUSIVE OF ELASTIC</t>
  </si>
  <si>
    <t>732995473872</t>
  </si>
  <si>
    <t>Charter Club Damask Designs Engraved Flower Grey Twin</t>
  </si>
  <si>
    <t>100037371TW</t>
  </si>
  <si>
    <t>86569296375</t>
  </si>
  <si>
    <t>Madison Park Madison Park Englewood 50 x 9 Grey 50x95</t>
  </si>
  <si>
    <t>MP40-6746</t>
  </si>
  <si>
    <t>86569302199</t>
  </si>
  <si>
    <t>Intelligent Design Annie 4 Piece FullQueen Solid Grey FullQueen</t>
  </si>
  <si>
    <t>ID10-1839</t>
  </si>
  <si>
    <t>COMFORTER/SHAM: POLYESTER SOLID CLIPPED JACQUARD FABRIC WITH SEERSUCKER ON FACE, SOLID POLYESTER MICROFIBER REVERSE; PILLOW: POLYESTER BRUSHED FABRIC COVER; COMFORTER AND DECORATIVE PILLOW WITH POLYESTER FILLING</t>
  </si>
  <si>
    <t>819254022535</t>
  </si>
  <si>
    <t>Gizmo Kids City Streets 3-Piece Comforter Multi Full</t>
  </si>
  <si>
    <t>GK23CS0002</t>
  </si>
  <si>
    <t>SARA B R27EN/NEW SEGA HOME TEXTILES</t>
  </si>
  <si>
    <t>883893549999</t>
  </si>
  <si>
    <t>Tommy Bahama Home Loredo Gardens Cotton Medium O Orange</t>
  </si>
  <si>
    <t>USHSAB1070365</t>
  </si>
  <si>
    <t>16X16</t>
  </si>
  <si>
    <t>885308484932</t>
  </si>
  <si>
    <t>Eclipse Palisade Blackout Panel Clay 52x108</t>
  </si>
  <si>
    <t>16400052108CLY</t>
  </si>
  <si>
    <t>846339099847</t>
  </si>
  <si>
    <t>Piper Wright Emily Alloy Grey Euro Sham Grey European Sham</t>
  </si>
  <si>
    <t>2448044EURO</t>
  </si>
  <si>
    <t>PIPER AND WRIGHT/J QUEEN NEW YORK</t>
  </si>
  <si>
    <t>86569909985</t>
  </si>
  <si>
    <t>SunSmart Maya 50 x 95 Printed Heather Taupe 50x95</t>
  </si>
  <si>
    <t>SS40-0033</t>
  </si>
  <si>
    <t>86569902757</t>
  </si>
  <si>
    <t>SunSmart Cassius 46 x 38 Marble Jacqu Gold 46x38</t>
  </si>
  <si>
    <t>SS41-0008</t>
  </si>
  <si>
    <t>86569902917</t>
  </si>
  <si>
    <t>SunSmart Mirage 50 x 95 Damask Total Champagne 50x95</t>
  </si>
  <si>
    <t>SS40-0014</t>
  </si>
  <si>
    <t>LT/PAS YEL</t>
  </si>
  <si>
    <t>SHELL: POLYESTER;</t>
  </si>
  <si>
    <t>651896628443</t>
  </si>
  <si>
    <t>Morgan Home MHF Home Kids Rainbow Polka Do Multi Queen</t>
  </si>
  <si>
    <t>M628443</t>
  </si>
  <si>
    <t>MORGAN HOME FASHIONS</t>
  </si>
  <si>
    <t>746885412254</t>
  </si>
  <si>
    <t>Miller Curtains Yasmine 50 x 95 Ivory Panel Ivory 50x95</t>
  </si>
  <si>
    <t>MC00X76622695</t>
  </si>
  <si>
    <t>NATCO/WINDHAM WEAVE/WINDHAM TRADING</t>
  </si>
  <si>
    <t>190945118400</t>
  </si>
  <si>
    <t>Levtex Camden Buffalo Check Shower Cu Navy 72 x 72</t>
  </si>
  <si>
    <t>L17212SC</t>
  </si>
  <si>
    <t>LEVTEX BABY/LEVTEX LLC</t>
  </si>
  <si>
    <t>190945027597</t>
  </si>
  <si>
    <t>Levtex Levtex Home Mirage Zebra Pillo Natural 18x18</t>
  </si>
  <si>
    <t>L51300P-M</t>
  </si>
  <si>
    <t>848742046555</t>
  </si>
  <si>
    <t>Lush Decor Bohemian Stripe 72 x 72 Show Light Multi 72X72</t>
  </si>
  <si>
    <t>16T000209</t>
  </si>
  <si>
    <t>733001710394</t>
  </si>
  <si>
    <t>Charter Club Cotton 325-Thread Count 4-Pc. Grey Full</t>
  </si>
  <si>
    <t>100110502FL</t>
  </si>
  <si>
    <t>INDOCOUNT/MMG-CHARTER CLUB</t>
  </si>
  <si>
    <t>86569042415</t>
  </si>
  <si>
    <t>JLA Home Intelligent Design Kai TwinTw Grey TwinTwin XL</t>
  </si>
  <si>
    <t>ID10-1489</t>
  </si>
  <si>
    <t>COMFORTER/SHAM - 100% POLYESTER 85GSM SOLID MICROFIBER REVERSE TO 170GSM SOLID MICROLIGHT, COMFORTER FILL - POLYESTER</t>
  </si>
  <si>
    <t>86569987433</t>
  </si>
  <si>
    <t>Madison Park Ceres 50 x 95 Twisted Tab To White 50x95</t>
  </si>
  <si>
    <t>MP40-5469</t>
  </si>
  <si>
    <t>732998775430</t>
  </si>
  <si>
    <t>Hotel Collection LAST ACT Hotel Collection Hon Mink Queen</t>
  </si>
  <si>
    <t>100090163QN</t>
  </si>
  <si>
    <t>883893593404</t>
  </si>
  <si>
    <t>Tommy Bahama Home Sunrise Stripe Burnt Coral Bre Red 12x16</t>
  </si>
  <si>
    <t>USHSFY1097716</t>
  </si>
  <si>
    <t>12X16</t>
  </si>
  <si>
    <t>846339096259</t>
  </si>
  <si>
    <t>J Queen New York Athens Blue Straight Valance Blue 50x15</t>
  </si>
  <si>
    <t>2411006STVAL</t>
  </si>
  <si>
    <t>MED BLUE</t>
  </si>
  <si>
    <t>675716669881</t>
  </si>
  <si>
    <t>Madison Park Zuri Reversible Oversized 60 Chocolate 60x70</t>
  </si>
  <si>
    <t>MP50-1912</t>
  </si>
  <si>
    <t>800298566062</t>
  </si>
  <si>
    <t>DKNY Modern Bloom 50 x 84 Curtain Linen 50x84</t>
  </si>
  <si>
    <t>WZD788192W0G</t>
  </si>
  <si>
    <t>83013283882</t>
  </si>
  <si>
    <t>Croscill Esmeralda 16 x 16 Fashion Pi Boudeaux No Size</t>
  </si>
  <si>
    <t>2A0-582C0-9016</t>
  </si>
  <si>
    <t>DARK RED</t>
  </si>
  <si>
    <t>675716488420</t>
  </si>
  <si>
    <t>Madison Park Emilia 50 x 95 Lined Faux-Si Dusty Aqua 50x95</t>
  </si>
  <si>
    <t>WIN40-121</t>
  </si>
  <si>
    <t>95 SGL</t>
  </si>
  <si>
    <t>675716573164</t>
  </si>
  <si>
    <t>Madison Park Emilia 50 x 95 Lined Faux-Si Pewter 50x95</t>
  </si>
  <si>
    <t>MP40-1300</t>
  </si>
  <si>
    <t>675716656225</t>
  </si>
  <si>
    <t>Madison Park Saratoga 50 x 84 Fretwork-Pr BeigeSpice 50x84</t>
  </si>
  <si>
    <t>MP40-1756</t>
  </si>
  <si>
    <t>680656165744</t>
  </si>
  <si>
    <t>Decopolitan Decopolitan Trumpet Double Cur Silver-tone 36-60in</t>
  </si>
  <si>
    <t>30977-SL36</t>
  </si>
  <si>
    <t>DECOPOLITAN/BEME INTERNATIONAL LLC</t>
  </si>
  <si>
    <t>STEEL ROD WITH PLASTIC FINIAL</t>
  </si>
  <si>
    <t>883893636699</t>
  </si>
  <si>
    <t>Tommy Bahama Home San Jacinto European Sham Khaki European Sham</t>
  </si>
  <si>
    <t>USHSGY1130484</t>
  </si>
  <si>
    <t>883893636743</t>
  </si>
  <si>
    <t>Tommy Bahama Home Canyon Palms Embroidered Throw Medium Green 20x20</t>
  </si>
  <si>
    <t>USHSAB1130506</t>
  </si>
  <si>
    <t>807882390492</t>
  </si>
  <si>
    <t>THRO Ibenz Ice Velvet Pillow, 22 x White No Size</t>
  </si>
  <si>
    <t>TH014509005E</t>
  </si>
  <si>
    <t>22X22</t>
  </si>
  <si>
    <t>THRO/JIMCO LAMP &amp; MANUFACTURING CO</t>
  </si>
  <si>
    <t>734737474956</t>
  </si>
  <si>
    <t>Lacoste Home Solid Percale Twin Sheet Set Plum Twin</t>
  </si>
  <si>
    <t>734737425743</t>
  </si>
  <si>
    <t>Lacoste Home Solid Percale Twin Sheet Set Allure Blue Twin</t>
  </si>
  <si>
    <t>883893444270</t>
  </si>
  <si>
    <t>Tommy Bahama Home Nassau White Euro Sham Spice European Sham</t>
  </si>
  <si>
    <t>MEDIUM RED</t>
  </si>
  <si>
    <t>COTTON; FILL: COTTON/POLYESTER</t>
  </si>
  <si>
    <t>675716805449</t>
  </si>
  <si>
    <t>Urban Habitat Lexi Colorblocked Throw Blue Throw</t>
  </si>
  <si>
    <t>BL50-0888</t>
  </si>
  <si>
    <t>ACRYLIC 220 GRAMS PER SQUARE METER</t>
  </si>
  <si>
    <t>83013301852</t>
  </si>
  <si>
    <t>Croscill Croscill Carlotta European Sha Multi European Sham</t>
  </si>
  <si>
    <t>2A0-502C0-8090</t>
  </si>
  <si>
    <t>732997629345</t>
  </si>
  <si>
    <t>Charter Club Damask Designs Honeycomb 50 x Red Throw</t>
  </si>
  <si>
    <t>CHARTER CLUB/SHANGHAI SUNWIN IN</t>
  </si>
  <si>
    <t>646998692874</t>
  </si>
  <si>
    <t>Martha Stewart Collection Eucalyptus 84 Poletop Curtain Aqua 50x84</t>
  </si>
  <si>
    <t>1-20160GAQ</t>
  </si>
  <si>
    <t>646998692430</t>
  </si>
  <si>
    <t>Martha Stewart Collection Montauk Clip Sheer 84 Poletop Coral 50x84</t>
  </si>
  <si>
    <t>1-20170GCC</t>
  </si>
  <si>
    <t>BRGHTORANG</t>
  </si>
  <si>
    <t>675716957445</t>
  </si>
  <si>
    <t>Madison Park Harper 42 x 63 Solid Crushed White 42x63</t>
  </si>
  <si>
    <t>MP40-4496</t>
  </si>
  <si>
    <t>675716846152</t>
  </si>
  <si>
    <t>Intelligent Design Olivia Floral-Print 50 x 84 Blue 50x84</t>
  </si>
  <si>
    <t>ID40-1012</t>
  </si>
  <si>
    <t>54006248911</t>
  </si>
  <si>
    <t>Achim Cordless GII Deluxe Sundown 1 Grey 33X64</t>
  </si>
  <si>
    <t>DSG233GY06</t>
  </si>
  <si>
    <t>ACHIM IMPORTING CO INC</t>
  </si>
  <si>
    <t>VINYL</t>
  </si>
  <si>
    <t>86569987426</t>
  </si>
  <si>
    <t>Madison Park Ceres 50 x 84 Twisted Tab To White 50x84</t>
  </si>
  <si>
    <t>MP40-5468</t>
  </si>
  <si>
    <t>190714392765</t>
  </si>
  <si>
    <t>Lacourte Herringbone 20 Square Decorat Sand 18x18</t>
  </si>
  <si>
    <t>1128867SAND20X20</t>
  </si>
  <si>
    <t>26865545937</t>
  </si>
  <si>
    <t>Elrene Cachet 52 x 84 Faux Silk 3-i Gold 52x84</t>
  </si>
  <si>
    <t>34621CML</t>
  </si>
  <si>
    <t>BEIGE</t>
  </si>
  <si>
    <t>POLYESTER FAUX SILK</t>
  </si>
  <si>
    <t>26865854237</t>
  </si>
  <si>
    <t>Elrene All Seasons Blackout Waterfall Silver 52x36</t>
  </si>
  <si>
    <t>76389012460</t>
  </si>
  <si>
    <t>CHF Window Treatments, Kendall 52 Ivory 52x95</t>
  </si>
  <si>
    <t>1-80370AIV</t>
  </si>
  <si>
    <t>26 SGL</t>
  </si>
  <si>
    <t>86569304384</t>
  </si>
  <si>
    <t>Madison Park Madison Park 50 x 84 Floral Linen 50x84</t>
  </si>
  <si>
    <t>MP40-6830</t>
  </si>
  <si>
    <t>675716467265</t>
  </si>
  <si>
    <t>Madison Park Duke Ribbed 50 x 60 Faux-Fur Black 50x60</t>
  </si>
  <si>
    <t>MP50-453</t>
  </si>
  <si>
    <t>190052069794</t>
  </si>
  <si>
    <t>Superior Superior Lightweight Scroll Sh Ivory</t>
  </si>
  <si>
    <t>52X63CTSHSCRGR</t>
  </si>
  <si>
    <t>783048023896</t>
  </si>
  <si>
    <t>Truly Soft Truly Soft Everyday White King Silver Grey King</t>
  </si>
  <si>
    <t>DCS1657SGYKG-18</t>
  </si>
  <si>
    <t>100% MICROFIBER POLYESTER.</t>
  </si>
  <si>
    <t>783048024046</t>
  </si>
  <si>
    <t>Truly Soft Truly Soft Everyday White King Khaki King</t>
  </si>
  <si>
    <t>DCS1657KHKG-18</t>
  </si>
  <si>
    <t>54006248904</t>
  </si>
  <si>
    <t>Achim Cordless GII Deluxe Sundown 1 Grey 31X64</t>
  </si>
  <si>
    <t>DSG231GY06</t>
  </si>
  <si>
    <t>16 DOORPAN</t>
  </si>
  <si>
    <t>810006714593</t>
  </si>
  <si>
    <t>Enchante Home Enchante Home Luxury Goose Dow White Queen</t>
  </si>
  <si>
    <t>PLLW10MEDQUEN</t>
  </si>
  <si>
    <t>TURKO TEXTILE LLC</t>
  </si>
  <si>
    <t>100% COTTON; FILL: 10% DOWN/90% FEATHER; 700 FILL POWER</t>
  </si>
  <si>
    <t>693614011502</t>
  </si>
  <si>
    <t>Ella Jayne Big and Soft Mattress Pad - Tw White Twin</t>
  </si>
  <si>
    <t>EJHFBBS1</t>
  </si>
  <si>
    <t>96675700994</t>
  </si>
  <si>
    <t>SensorPEDIC Fresh - Eucalyptus Infused Mem White Standard</t>
  </si>
  <si>
    <t>SOFT-TEX MFG CO/SOFT-TEX INT'L INC</t>
  </si>
  <si>
    <t>675716969318</t>
  </si>
  <si>
    <t>Madison Park Cecily Printed Grommet 50 x 8 Grey 50x84</t>
  </si>
  <si>
    <t>MP40-4609</t>
  </si>
  <si>
    <t>86569280305</t>
  </si>
  <si>
    <t>Madison Park Cecily Printed Grommet 50 x 8 Mauve 50x84</t>
  </si>
  <si>
    <t>MP40-6605</t>
  </si>
  <si>
    <t>636193740692</t>
  </si>
  <si>
    <t>Martha Stewart Collection Spa Cotton 25.5 x 45.0 Bath Aloe 25.5 x 45</t>
  </si>
  <si>
    <t>MSSPA2X4ALO</t>
  </si>
  <si>
    <t>PB-BTH-RUG/AC</t>
  </si>
  <si>
    <t>WELSPUN USA/MARTHA STEWART-EDI-MMG</t>
  </si>
  <si>
    <t>MICROFIBER POLYESTER WITH SKID RESISTANT LATEX BACKING</t>
  </si>
  <si>
    <t>36326580896</t>
  </si>
  <si>
    <t>Saturday Knight Saturday Knight Raine Panel, 4 Dove Gray</t>
  </si>
  <si>
    <t>SATURDAY KNIGHT LTD</t>
  </si>
  <si>
    <t>706258091226</t>
  </si>
  <si>
    <t>Charter Club Damask Pima Cotton 550-Thread Medium Ivory King</t>
  </si>
  <si>
    <t>DNSLDKGBIVY</t>
  </si>
  <si>
    <t>732998775324</t>
  </si>
  <si>
    <t>Hotel Collection LAST ACT Hotel Collection Hon Mink King Sham</t>
  </si>
  <si>
    <t>100079054KG</t>
  </si>
  <si>
    <t>732998775348</t>
  </si>
  <si>
    <t>Hotel Collection LAST ACT Hotel Collection Hon Mink European</t>
  </si>
  <si>
    <t>100079055ER</t>
  </si>
  <si>
    <t>76389012545</t>
  </si>
  <si>
    <t>CHF Window Treatments, Kendall 52 Ivory 52x84</t>
  </si>
  <si>
    <t>1-80370GIV</t>
  </si>
  <si>
    <t>746885414234</t>
  </si>
  <si>
    <t>Windham Weavers Bennett 50 x 95 Geometric Pr Taupe 50x95</t>
  </si>
  <si>
    <t>MC00X76907695</t>
  </si>
  <si>
    <t>746885414920</t>
  </si>
  <si>
    <t>Windham Weavers Dalton 50 x 95 Curtain Panel Teal 50x95</t>
  </si>
  <si>
    <t>MC00X76803995</t>
  </si>
  <si>
    <t>800298566031</t>
  </si>
  <si>
    <t>DKNY Modern Bloom 50 x 63 Curtain Linen 50x63</t>
  </si>
  <si>
    <t>WZD788192W06</t>
  </si>
  <si>
    <t>45 SGL</t>
  </si>
  <si>
    <t>810029192972</t>
  </si>
  <si>
    <t>HLC.me Lumino by HLC.me Perth Semi Sh Silver 54x84</t>
  </si>
  <si>
    <t>TY-7ZTF-31EY</t>
  </si>
  <si>
    <t>SAKATTA INC</t>
  </si>
  <si>
    <t>810029192958</t>
  </si>
  <si>
    <t>HLC.me Lumino by HLC.me Perth Semi Sh Gold 54x84</t>
  </si>
  <si>
    <t>CB-0LZO-KSCB</t>
  </si>
  <si>
    <t>651896628429</t>
  </si>
  <si>
    <t>Morgan Home MHF Home Kids Rainbow Polka Do Multi Twin</t>
  </si>
  <si>
    <t>M628429</t>
  </si>
  <si>
    <t>883893639454</t>
  </si>
  <si>
    <t>Tommy Bahama Home Canyon Palms European Sham Khaki European Sham</t>
  </si>
  <si>
    <t>USHSGY1130671</t>
  </si>
  <si>
    <t>733001363118</t>
  </si>
  <si>
    <t>Martha Stewart Collection LAST ACT Medallion Tufted Vel Ivory King Sham</t>
  </si>
  <si>
    <t>100106021KS</t>
  </si>
  <si>
    <t>735732527562</t>
  </si>
  <si>
    <t>VCNY Home Calista 18x18 Heart Paper Shag Mint 18x18</t>
  </si>
  <si>
    <t>CA7-PLW-1818-IN-MIN</t>
  </si>
  <si>
    <t>MICROFIBER/COTTON BLEND</t>
  </si>
  <si>
    <t>86569413420</t>
  </si>
  <si>
    <t>SunSmart SunSmart 2 Piece Taren Solid B BeigeKhaki 42x84</t>
  </si>
  <si>
    <t>SS40-0155</t>
  </si>
  <si>
    <t>735732187537</t>
  </si>
  <si>
    <t>VCNY Home Amadora Quatrefoil 24 x 60 M Burgundy ONE SIZE</t>
  </si>
  <si>
    <t>AM4-RUN-2460-GP-BURG</t>
  </si>
  <si>
    <t>POLYESTER MICROFIBER</t>
  </si>
  <si>
    <t>735732187551</t>
  </si>
  <si>
    <t>VCNY Home Amadora Quatrefoil 24 x 60 M Grey ONE SIZE</t>
  </si>
  <si>
    <t>AM4-RUN-2460-GP-GREY</t>
  </si>
  <si>
    <t>746885414265</t>
  </si>
  <si>
    <t>Windham Weavers Bennett 50 x 95 Geometric Pr Charcoal 50x95</t>
  </si>
  <si>
    <t>MC00X76932095</t>
  </si>
  <si>
    <t>675716850043</t>
  </si>
  <si>
    <t>Madison Park Eden 50 x 84 Fretwork Burnou Ivory 50x84</t>
  </si>
  <si>
    <t>MP40-3777</t>
  </si>
  <si>
    <t>54006250907</t>
  </si>
  <si>
    <t>Achim Prelude 50x63 TQ Black 50x63</t>
  </si>
  <si>
    <t>PEPN63BK06</t>
  </si>
  <si>
    <t>783048998477</t>
  </si>
  <si>
    <t>Truly Soft Truly Soft Everyday White Full White FullQueen</t>
  </si>
  <si>
    <t>DCS1657WTQ-1800</t>
  </si>
  <si>
    <t>783048024060</t>
  </si>
  <si>
    <t>Truly Soft Truly Soft Everyday White Full Blush FullQueen</t>
  </si>
  <si>
    <t>DCS1657BSFQ-18</t>
  </si>
  <si>
    <t>706255403626</t>
  </si>
  <si>
    <t>Martha Stewart Collection Martha Stewart Collection Piqu Vanilla Full</t>
  </si>
  <si>
    <t>SPQFBSV822</t>
  </si>
  <si>
    <t>MS COL SHEETS</t>
  </si>
  <si>
    <t>MARTHA STEWART-EDI/PAC-FUNG FEATHER</t>
  </si>
  <si>
    <t>783048023889</t>
  </si>
  <si>
    <t>Truly Soft Truly Soft Everyday White Full Silver Grey FullQueen</t>
  </si>
  <si>
    <t>DCS1657SGYFQ-18</t>
  </si>
  <si>
    <t>810029193580</t>
  </si>
  <si>
    <t>HLC.me Lumino by HLC.me Canberra Shee Gold 54 x 95</t>
  </si>
  <si>
    <t>SHPNL-95GLD</t>
  </si>
  <si>
    <t>837304001804</t>
  </si>
  <si>
    <t>LCM Home LCM Home Luxury Printed Stripe Khaki FullQueen</t>
  </si>
  <si>
    <t>B022A</t>
  </si>
  <si>
    <t>LCM HOME FASHIONS INC</t>
  </si>
  <si>
    <t>732994256261</t>
  </si>
  <si>
    <t>Hotel Collection MicroCotton Plus 33 x 70 Bat Honey Bath Sheets</t>
  </si>
  <si>
    <t>HTLMCSHNY</t>
  </si>
  <si>
    <t>KG/BATHSHT</t>
  </si>
  <si>
    <t>PB TOWELS</t>
  </si>
  <si>
    <t>MMG-HOTEL BY CC</t>
  </si>
  <si>
    <t>675716772581</t>
  </si>
  <si>
    <t>Madison Park Duke 20 Square Faux-Fur Decor Gray 20x20</t>
  </si>
  <si>
    <t>MP30-3000</t>
  </si>
  <si>
    <t>FAUX-FUR FACE: POLYESTER 300 GRAMS PER SQUARE METER; FAUX-FUR REVERSE: POLYESTER 180 GRAMS PER SQUARE METER; POLYESTER FILL</t>
  </si>
  <si>
    <t>675716783518</t>
  </si>
  <si>
    <t>INKIVY Bree Chunky-Knit 20 Square Pi Aqua 20x20</t>
  </si>
  <si>
    <t>II30-739</t>
  </si>
  <si>
    <t>FABRIC: ACRYLIC 410 GRAMS PER SQUARE METER; LINING: COTTON</t>
  </si>
  <si>
    <t>675716772574</t>
  </si>
  <si>
    <t>Madison Park Duke 20 Square Faux-Fur Decor Brown 20x20</t>
  </si>
  <si>
    <t>MP30-2999</t>
  </si>
  <si>
    <t>42437002431</t>
  </si>
  <si>
    <t>Kenney Jillian 12 Window Curtain Ro Brown Marble 48-86in</t>
  </si>
  <si>
    <t>KN55181REM</t>
  </si>
  <si>
    <t>628961001098</t>
  </si>
  <si>
    <t>Small World Home Haven 20 x 20 Decorative Pil Black And White 20x20</t>
  </si>
  <si>
    <t>HAVEN</t>
  </si>
  <si>
    <t>JETRICH CANADA LIMITED</t>
  </si>
  <si>
    <t>86569284877</t>
  </si>
  <si>
    <t>Madison Park Madison Park Simone 50 x 84 Grey 50x84</t>
  </si>
  <si>
    <t>MP40-6614</t>
  </si>
  <si>
    <t>54006242391</t>
  </si>
  <si>
    <t>Achim Fairfield 55x84 WH White 55x84</t>
  </si>
  <si>
    <t>FF5P84WH12</t>
  </si>
  <si>
    <t>86569928276</t>
  </si>
  <si>
    <t>Madison Park Hayden Reversible 3-Pc. FullQ Grey FullQueen</t>
  </si>
  <si>
    <t>MPE12-643</t>
  </si>
  <si>
    <t>FABRIC: POLYESTER 85 GSM</t>
  </si>
  <si>
    <t>86569904720</t>
  </si>
  <si>
    <t>Madison Park Elena 38 x 46 Faux-Silk Rod Dusty Aqua 38x46</t>
  </si>
  <si>
    <t>MP41-4961</t>
  </si>
  <si>
    <t>FAUX-SILK FABRIC: POLYESTER</t>
  </si>
  <si>
    <t>789323328120</t>
  </si>
  <si>
    <t>Saro Lifestyle Saro Lifestyle Color Pop State Fuchsia 18x18</t>
  </si>
  <si>
    <t>BRGHT PINK</t>
  </si>
  <si>
    <t>SARO TRADING COMPANY</t>
  </si>
  <si>
    <t>675716953355</t>
  </si>
  <si>
    <t>Madison Park Emilia 50 x 26 Lined Faux-Si White 50x26</t>
  </si>
  <si>
    <t>MP41-4453</t>
  </si>
  <si>
    <t>675716953386</t>
  </si>
  <si>
    <t>Madison Park Emilia 50 x 26 Lined Faux-Si Dusty Aqua 50x26</t>
  </si>
  <si>
    <t>MP41-4455</t>
  </si>
  <si>
    <t>86569904645</t>
  </si>
  <si>
    <t>Madison Park Elena 38 x 46 Faux-Silk Rod White 38x46</t>
  </si>
  <si>
    <t>MP41-4949</t>
  </si>
  <si>
    <t>86569904676</t>
  </si>
  <si>
    <t>Madison Park Elena 38 x 46 Faux-Silk Rod Champagne 38x46</t>
  </si>
  <si>
    <t>MP41-4952</t>
  </si>
  <si>
    <t>86569111210</t>
  </si>
  <si>
    <t>JLA Home Fiona 72 x 72 Shower Curtain Blush 72X72</t>
  </si>
  <si>
    <t>MCH70-986</t>
  </si>
  <si>
    <t>POLYESTER 85GSM</t>
  </si>
  <si>
    <t>86569263377</t>
  </si>
  <si>
    <t>JLA Home Decor Studio Victoria 72 x 72 Burgundy 72X72</t>
  </si>
  <si>
    <t>MCH70-1493</t>
  </si>
  <si>
    <t>FABRIC: POLYESTER</t>
  </si>
  <si>
    <t>732996226682</t>
  </si>
  <si>
    <t>Hotel Collection Moire 26 x 26 European Sham White European Sham</t>
  </si>
  <si>
    <t>100062609ER</t>
  </si>
  <si>
    <t>675716996895</t>
  </si>
  <si>
    <t>Madison Park Zuri Faux-Fur 20 Square Decor Sand 20x20</t>
  </si>
  <si>
    <t>MP30-4814</t>
  </si>
  <si>
    <t>726895285581</t>
  </si>
  <si>
    <t>Hotel Collection Muse European Sham Grey European Sham</t>
  </si>
  <si>
    <t>10010547ER</t>
  </si>
  <si>
    <t>732998775331</t>
  </si>
  <si>
    <t>Hotel Collection LAST ACT Hotel Collection Hon Mink Standard</t>
  </si>
  <si>
    <t>100079054SD</t>
  </si>
  <si>
    <t>85214124230</t>
  </si>
  <si>
    <t>Everything Kids Everything Kids Unicorn Nap Ma Pink ONE SIZE</t>
  </si>
  <si>
    <t>4126392P</t>
  </si>
  <si>
    <t>646760075249</t>
  </si>
  <si>
    <t>Window Elements Wavy Leaves Embroidered Sheer Turquoise 54x84</t>
  </si>
  <si>
    <t>YMC005911</t>
  </si>
  <si>
    <t>TRCTN82X54</t>
  </si>
  <si>
    <t>FRENCH CONNECTION/YMF CARPET INC</t>
  </si>
  <si>
    <t>706258051244</t>
  </si>
  <si>
    <t>Charter Club Damask Pima Cotton 550-Thread Stone Dark Grey Full</t>
  </si>
  <si>
    <t>DNSLDFLBSTN</t>
  </si>
  <si>
    <t>675716604059</t>
  </si>
  <si>
    <t>INKIVY Nadia 12 x 18 Metallic Ikat Gold 12x18</t>
  </si>
  <si>
    <t>II30-210</t>
  </si>
  <si>
    <t>12X18</t>
  </si>
  <si>
    <t>SHELL: COTTON; POLYESTER FILL 270 GRAMS; THREAD COUNT: 200</t>
  </si>
  <si>
    <t>800298566154</t>
  </si>
  <si>
    <t>DKNY Soho Stripe 50 x 63 Curtain Linen 50x63</t>
  </si>
  <si>
    <t>WZD789192W06</t>
  </si>
  <si>
    <t>76389296556</t>
  </si>
  <si>
    <t>CHF Battenburg 60 x 14 Valance Ecru 60x14</t>
  </si>
  <si>
    <t>1-428600EC</t>
  </si>
  <si>
    <t>11 PLT SGL</t>
  </si>
  <si>
    <t>675716964009</t>
  </si>
  <si>
    <t>Madison Park Madison Park Andora 50 x 18 White 50x18</t>
  </si>
  <si>
    <t>MP41-4569</t>
  </si>
  <si>
    <t>646998635314</t>
  </si>
  <si>
    <t>CHF Lenox 50 x 84 Crushed Textur Taupe 50x84</t>
  </si>
  <si>
    <t>1-80630GTP</t>
  </si>
  <si>
    <t>883893444263</t>
  </si>
  <si>
    <t>Tommy Bahama Home Nassau White Standard Sham Spice Standard Sham</t>
  </si>
  <si>
    <t>COTTON; FILL: POLYESTER/COTTON</t>
  </si>
  <si>
    <t>812091031593</t>
  </si>
  <si>
    <t>Tadpoles Tadpoles Kids Rule 3-Piece Twi Open Misce Twin</t>
  </si>
  <si>
    <t>RANBW1830T</t>
  </si>
  <si>
    <t>RTJUMBOFIT</t>
  </si>
  <si>
    <t>TADPOLE HOME/SLEEPING PARTNER INTL</t>
  </si>
  <si>
    <t>100% MICROFIBER POLYESTER</t>
  </si>
  <si>
    <t>29927465846</t>
  </si>
  <si>
    <t>No. 918 Mabel 48 x 84 Leaf Print Cur Harbor 48x84</t>
  </si>
  <si>
    <t>84X7X48/4</t>
  </si>
  <si>
    <t>29927425529</t>
  </si>
  <si>
    <t>No. 918 No. 918 Montego 48 x 95 Cu White 48x95</t>
  </si>
  <si>
    <t>21864252947</t>
  </si>
  <si>
    <t>Avanti Bath Towels, Bradford 27 x 50 Java</t>
  </si>
  <si>
    <t>017891JAV</t>
  </si>
  <si>
    <t>BATH TOWEL</t>
  </si>
  <si>
    <t>AVANTI LINENS/AVANTI LINENS INC</t>
  </si>
  <si>
    <t>COTTON; EXCLUSIVE OF EMBELLISHMENT</t>
  </si>
  <si>
    <t>732995096019</t>
  </si>
  <si>
    <t>Martha Stewart Collection Sawtooth Star Artisan Standard Blue Standard Sham</t>
  </si>
  <si>
    <t>100047325ST</t>
  </si>
  <si>
    <t>732998043461</t>
  </si>
  <si>
    <t>Charter Club Damask Designs Woven Floral Co Grey European Sham</t>
  </si>
  <si>
    <t>100057512ER</t>
  </si>
  <si>
    <t>CHARTER CLUB-EDI/RWI/NAISHAT</t>
  </si>
  <si>
    <t>FABRIC: 100% COTTON</t>
  </si>
  <si>
    <t>732998775294</t>
  </si>
  <si>
    <t>Hotel Collection LAST ACT Hotel Collection Hon Mink Standard Sham</t>
  </si>
  <si>
    <t>100077701SD</t>
  </si>
  <si>
    <t>STANDARD</t>
  </si>
  <si>
    <t>91116713533</t>
  </si>
  <si>
    <t>Sanders Embossed 4-Pc. King Sheet Set Ivory King</t>
  </si>
  <si>
    <t>GRKSSK</t>
  </si>
  <si>
    <t>675716639914</t>
  </si>
  <si>
    <t>Madison Park Oversized 60 x 70 Ogee-Print Indigo 60x70</t>
  </si>
  <si>
    <t>MP50-1731</t>
  </si>
  <si>
    <t>FABRIC: POLYESTER 220 GRAMS PER SQUARE METER</t>
  </si>
  <si>
    <t>675716850005</t>
  </si>
  <si>
    <t>Madison Park Eden 50 x 63 Fretwork Burnou White 50x63</t>
  </si>
  <si>
    <t>MP40-3773</t>
  </si>
  <si>
    <t>675716850029</t>
  </si>
  <si>
    <t>Madison Park Eden 50 x 63 Fretwork Burnou Grey 50x63</t>
  </si>
  <si>
    <t>MP40-3779</t>
  </si>
  <si>
    <t>86569296740</t>
  </si>
  <si>
    <t>Madison Park Amherst Colorblock 50 x 18 W Blush 50x18</t>
  </si>
  <si>
    <t>MP41-6760</t>
  </si>
  <si>
    <t>633125168623</t>
  </si>
  <si>
    <t>Bath Bliss Bath Bliss Toilet Plunger in S Silver ONE SIZE</t>
  </si>
  <si>
    <t>4936-SS</t>
  </si>
  <si>
    <t>LAURA ASHLEY/KENNEDY INTL INC</t>
  </si>
  <si>
    <t>STAINLESS STEEL/POLYPROPYLENE</t>
  </si>
  <si>
    <t>86569928269</t>
  </si>
  <si>
    <t>Madison Park Hayden Reversible 2-Pc. Twin D Grey Twin</t>
  </si>
  <si>
    <t>MPE12-642</t>
  </si>
  <si>
    <t>706258051329</t>
  </si>
  <si>
    <t>Charter Club Damask Supima Cotton 550-Threa Stone Dark Grey Twin</t>
  </si>
  <si>
    <t>DNSLDTWBSTN</t>
  </si>
  <si>
    <t>845951013897</t>
  </si>
  <si>
    <t>RT Designers Collection Nancy Faux Silk 54 x 84 . Grom Gold 54x84</t>
  </si>
  <si>
    <t>PNN03031</t>
  </si>
  <si>
    <t>RAMALLAH TRADING CO INC</t>
  </si>
  <si>
    <t>91116725505</t>
  </si>
  <si>
    <t>Sanders Holiday Microfiber 5 Piece Que Holly Berry Queen</t>
  </si>
  <si>
    <t>HDYSS1Q</t>
  </si>
  <si>
    <t>29927435177</t>
  </si>
  <si>
    <t>Sun Zero Lichtenberg Sun Zero Grant Sol Taupe 54x84</t>
  </si>
  <si>
    <t>675716833312</t>
  </si>
  <si>
    <t>Madison Park Oversized 60 x 70 Ogee-Print Black 60x70</t>
  </si>
  <si>
    <t>MP50-3509</t>
  </si>
  <si>
    <t>54006252376</t>
  </si>
  <si>
    <t>Achim Sutton 48x36 TN Ivory 48x36</t>
  </si>
  <si>
    <t>SUWTVLIV12</t>
  </si>
  <si>
    <t>734737474666</t>
  </si>
  <si>
    <t>Lacoste Home Solid Percale Pair of Standard Sleet Standard Pillowcases</t>
  </si>
  <si>
    <t>PILLOWCASE</t>
  </si>
  <si>
    <t>646998643395</t>
  </si>
  <si>
    <t>CHF Reversible Watercolor Floral-P Spice 50x84</t>
  </si>
  <si>
    <t>1-40420GSI</t>
  </si>
  <si>
    <t>54006250662</t>
  </si>
  <si>
    <t>Achim LiveLove 58x24 NY Burgundy 58x24</t>
  </si>
  <si>
    <t>LLTV24BU12</t>
  </si>
  <si>
    <t>646998643388</t>
  </si>
  <si>
    <t>CHF Reversible Watercolor Floral-P Aqua 50x84</t>
  </si>
  <si>
    <t>1-40420GAQ</t>
  </si>
  <si>
    <t>646998638070</t>
  </si>
  <si>
    <t>CHF Lyric Ogee 50 x 95 Rod Pocke White 50x95</t>
  </si>
  <si>
    <t>1-41220AWT</t>
  </si>
  <si>
    <t>190714353681</t>
  </si>
  <si>
    <t>Lacourte Avocuddle Party 14 x 24 Deco Multi 14x24</t>
  </si>
  <si>
    <t>1126412MULTI14X24</t>
  </si>
  <si>
    <t>16X24</t>
  </si>
  <si>
    <t>706254554169</t>
  </si>
  <si>
    <t>Charter Club Sleep Luxe Dobby Dot Cotton 70 Ice Mocha Dobby Dot Standard Pillowcases</t>
  </si>
  <si>
    <t>100048248SP</t>
  </si>
  <si>
    <t>CHARTER CLUB-EDI/BIRLA CENTURY</t>
  </si>
  <si>
    <t>732998869726</t>
  </si>
  <si>
    <t>Martha Stewart Collection Gilded Age Reversible Standard Tan Standard Sham</t>
  </si>
  <si>
    <t>100088179ST</t>
  </si>
  <si>
    <t>29927373554</t>
  </si>
  <si>
    <t>No. 918 Montego 48 x 84 Grommet Top White 48x84</t>
  </si>
  <si>
    <t>29927456677</t>
  </si>
  <si>
    <t>Sun Zero Sun Zero Tabbey 40 x 84 Curt Grey 40x84</t>
  </si>
  <si>
    <t>646998620068</t>
  </si>
  <si>
    <t>CHF CHF Soho Voile 59 x 144 Pane Oyster 59x144</t>
  </si>
  <si>
    <t>1-804004OY</t>
  </si>
  <si>
    <t>783048998705</t>
  </si>
  <si>
    <t>Truly Soft Truly Soft Everyday White Quee Ivory Queen</t>
  </si>
  <si>
    <t>SS1658IVQN-4700</t>
  </si>
  <si>
    <t>54006631805</t>
  </si>
  <si>
    <t>Achim Rainbow 52x84 PP Blue 52x84</t>
  </si>
  <si>
    <t>RBPN84BL12</t>
  </si>
  <si>
    <t>91116725574</t>
  </si>
  <si>
    <t>Sanders Holiday 5-Pc. Full Sheet Set w Micha Plaid Full</t>
  </si>
  <si>
    <t>HDYSS3F</t>
  </si>
  <si>
    <t>BRIGHT RED</t>
  </si>
  <si>
    <t>885308456779</t>
  </si>
  <si>
    <t>Eclipse Tricia Door Panel Stone ONE SIZE</t>
  </si>
  <si>
    <t>14898026068STO</t>
  </si>
  <si>
    <t>800298659085</t>
  </si>
  <si>
    <t>Donna Karan CLOSEOUT Donna Karan Collecti Ivory King Sham</t>
  </si>
  <si>
    <t>AUR100010SAJ</t>
  </si>
  <si>
    <t>KGTAILORED</t>
  </si>
  <si>
    <t>RAYON/POLYESTER</t>
  </si>
  <si>
    <t>646998647256</t>
  </si>
  <si>
    <t>Curtainworks Flounced 42 x 84 Rod Pocket Pink 42x84</t>
  </si>
  <si>
    <t>1-82460GPK</t>
  </si>
  <si>
    <t>646998647263</t>
  </si>
  <si>
    <t>Curtainworks Flounced 42 x 84 Rod Pocket White 42x84</t>
  </si>
  <si>
    <t>1-82460GWT</t>
  </si>
  <si>
    <t>885308422231</t>
  </si>
  <si>
    <t>Eclipse Dixon Back Tab Valance Robins Egg Blue 52x18</t>
  </si>
  <si>
    <t>15597052018REB</t>
  </si>
  <si>
    <t>95% POLYESTER, 5% LINEN</t>
  </si>
  <si>
    <t>732996988962</t>
  </si>
  <si>
    <t>Martha Stewart Collection Stenciled Leaves Standard Sham Wine Standard Sham</t>
  </si>
  <si>
    <t>100037828ST</t>
  </si>
  <si>
    <t>732995974355</t>
  </si>
  <si>
    <t>Charter Club 2-Pk. Sleep Luxe Cotton 800-Th Basket Standard Pillowcases</t>
  </si>
  <si>
    <t>100038762SP</t>
  </si>
  <si>
    <t>885308097156</t>
  </si>
  <si>
    <t>Eclipse Kendall Blackout Window Curtai Chocolate 42x84</t>
  </si>
  <si>
    <t>10707042X084CH</t>
  </si>
  <si>
    <t>29927440317</t>
  </si>
  <si>
    <t>Sun Zero Sun Zero Preston 40 x 84 Gro Stone 40x84</t>
  </si>
  <si>
    <t>190733164428</t>
  </si>
  <si>
    <t>Linum Home 100 Turkish Cotton Soft Strip Aqua Beach Towels</t>
  </si>
  <si>
    <t>SOFT STRP-RNBW FISH</t>
  </si>
  <si>
    <t>BEACHTOWEL</t>
  </si>
  <si>
    <t>LINUM HOME TEXTILES LLC</t>
  </si>
  <si>
    <t>100% TURKISH COTTON</t>
  </si>
  <si>
    <t>29927435672</t>
  </si>
  <si>
    <t>Sun Zero Sun Zero Grant Pole Top 54 x Stone 54x84</t>
  </si>
  <si>
    <t>76389997682</t>
  </si>
  <si>
    <t>CHF Pair of Crochet 58 x 30 Swag WHITE 58x30</t>
  </si>
  <si>
    <t>1-40210SWT</t>
  </si>
  <si>
    <t>733001365846</t>
  </si>
  <si>
    <t>Martha Stewart Collection LAST ACT Medallion Tufted Vel Burgundy Standard Sham</t>
  </si>
  <si>
    <t>100106021ST</t>
  </si>
  <si>
    <t>734737642997</t>
  </si>
  <si>
    <t>Lacoste CLOSEOUT Lacoste Sculpted Squ White Bath Towels</t>
  </si>
  <si>
    <t>T21627N013054</t>
  </si>
  <si>
    <t>646998648703</t>
  </si>
  <si>
    <t>Curtainworks Chevron Ruffle 42 x 95 Rod P White 42x95</t>
  </si>
  <si>
    <t>1-40490AWT</t>
  </si>
  <si>
    <t>732997137499</t>
  </si>
  <si>
    <t>Charter Club Damask Designs Diagonal Stripe Green 12x24</t>
  </si>
  <si>
    <t>21166135733</t>
  </si>
  <si>
    <t>Universal Home Fashions Universal Home Fashions Crushe Pale Gray 40x84</t>
  </si>
  <si>
    <t>13275A</t>
  </si>
  <si>
    <t>UNIVERSAL HOME FASH/WELCOME INDUST</t>
  </si>
  <si>
    <t>885308637642</t>
  </si>
  <si>
    <t>Pairs To Go Montana Panel Pair Aegean 60x84</t>
  </si>
  <si>
    <t>15999060X084AEG</t>
  </si>
  <si>
    <t>84X60</t>
  </si>
  <si>
    <t>60% COTTON/40% POLYESTER</t>
  </si>
  <si>
    <t>885308425072</t>
  </si>
  <si>
    <t>Pairs To Go Vickery Panel Pair Spa 56x63</t>
  </si>
  <si>
    <t>15617056X063SPA</t>
  </si>
  <si>
    <t>67% POLYESTER/33% COTTON</t>
  </si>
  <si>
    <t>21864347988</t>
  </si>
  <si>
    <t>Avanti Dotted Circles Hand Towel White</t>
  </si>
  <si>
    <t>038702WHT</t>
  </si>
  <si>
    <t>HAND TOWEL</t>
  </si>
  <si>
    <t>MADE IN USA AND IMPORTED</t>
  </si>
  <si>
    <t>755615146772</t>
  </si>
  <si>
    <t>Miller Curtains Preston 48 x 84 Window Panel Beige 48x84</t>
  </si>
  <si>
    <t>755615146284</t>
  </si>
  <si>
    <t>Miller Curtains Preston 48 x 84 Window Panel Light Blue 48x84</t>
  </si>
  <si>
    <t>646998642398</t>
  </si>
  <si>
    <t>CHF Lotus Harmony 40 x 95 Geomet Charcoal 40x95</t>
  </si>
  <si>
    <t>1-82450ACK</t>
  </si>
  <si>
    <t>29927460018</t>
  </si>
  <si>
    <t>Sun Zero Sun Zero Grant 54 x 18 Valan Stone 54x18</t>
  </si>
  <si>
    <t>732998869771</t>
  </si>
  <si>
    <t>Martha Stewart Collection Buffalo Plaid Yarn Dye Standar Lightpastel Gr Standard Sham</t>
  </si>
  <si>
    <t>100089634ST</t>
  </si>
  <si>
    <t>646998647287</t>
  </si>
  <si>
    <t>Curtainworks Flounced 42 x 63 Rod Pocket White 42x63</t>
  </si>
  <si>
    <t>1-824606WT</t>
  </si>
  <si>
    <t>29927563023</t>
  </si>
  <si>
    <t>No. 918 No. 918 Sheer Voile 59 x 84 Silver 59x84</t>
  </si>
  <si>
    <t>885308425041</t>
  </si>
  <si>
    <t>Pairs To Go Vickery Panel Pair Taupe 56x84</t>
  </si>
  <si>
    <t>15617056X084TAU</t>
  </si>
  <si>
    <t>646998649663</t>
  </si>
  <si>
    <t>CHF Morocco 58 x 36 Window Tier Aqua 58x36</t>
  </si>
  <si>
    <t>1-445103AQ</t>
  </si>
  <si>
    <t>646998648574</t>
  </si>
  <si>
    <t>Curtainworks Chevron Ruffle 42 x 84 Rod P White 42x84</t>
  </si>
  <si>
    <t>1-40490GWT</t>
  </si>
  <si>
    <t>646998648505</t>
  </si>
  <si>
    <t>Curtainworks Starry Night 40 x 84 Room-Da Blue 40x84</t>
  </si>
  <si>
    <t>1-82470GBL</t>
  </si>
  <si>
    <t>76389025248</t>
  </si>
  <si>
    <t>CHF Cafe Au Lait 56 x 36 Window Multi 56x36</t>
  </si>
  <si>
    <t>1-44110YMU</t>
  </si>
  <si>
    <t>726895659504</t>
  </si>
  <si>
    <t>Charter Club Damask Designs Sketch Cotton 3 Peri European Sham</t>
  </si>
  <si>
    <t>100038508ER</t>
  </si>
  <si>
    <t>29927388022</t>
  </si>
  <si>
    <t>No. 918 No. 918 Montego 56 x 14 Vala White 56x14</t>
  </si>
  <si>
    <t>36326581497</t>
  </si>
  <si>
    <t>Saturday Knight Saturday Knight Refresh Tier P Blush No Size</t>
  </si>
  <si>
    <t>706255878769</t>
  </si>
  <si>
    <t>Hotel Collection Hotel Collection 525 Thread Co Sea Blue Standard Pillowcases</t>
  </si>
  <si>
    <t>5E20SPC790</t>
  </si>
  <si>
    <t>HOTEL BY C CLUB-EDI/RWI/KADRI MILLS</t>
  </si>
  <si>
    <t>76389296457</t>
  </si>
  <si>
    <t>CHF Battenburg 30 x 24 Cafe Cur Ecru 30x24</t>
  </si>
  <si>
    <t>1-428601EC</t>
  </si>
  <si>
    <t>814945026236</t>
  </si>
  <si>
    <t>De Moocci Microfiber Tailored Bed-Skirt Grey King</t>
  </si>
  <si>
    <t>1706TBS-GRY-K</t>
  </si>
  <si>
    <t>DE MOOCCI/ORIENT HOME COLLECTION</t>
  </si>
  <si>
    <t>814945024454</t>
  </si>
  <si>
    <t>De Moocci Wrap Around Bed Skirt, Elastic Cream</t>
  </si>
  <si>
    <t>1606BS-CRM-QK</t>
  </si>
  <si>
    <t>814945024461</t>
  </si>
  <si>
    <t>De Moocci Wrap Around Bed Skirt, Elastic Grey</t>
  </si>
  <si>
    <t>1606BS-GRY-QK</t>
  </si>
  <si>
    <t>646998643401</t>
  </si>
  <si>
    <t>CHF Coco 50 x 84 Ogee-Print Rod Blue 50x84</t>
  </si>
  <si>
    <t>1-40430GBL</t>
  </si>
  <si>
    <t>646998642657</t>
  </si>
  <si>
    <t>CHF Lotus Harmony 40 x 84 Geomet Seafoam 40x84</t>
  </si>
  <si>
    <t>1-82450GSE</t>
  </si>
  <si>
    <t>646998642411</t>
  </si>
  <si>
    <t>CHF Lotus Harmony 40 x 84 Geomet Charcoal 40x84</t>
  </si>
  <si>
    <t>1-82450GCK</t>
  </si>
  <si>
    <t>732998237983</t>
  </si>
  <si>
    <t>Charter Club Damask Cotton Quilted Printed Perriwinkle European Sham</t>
  </si>
  <si>
    <t>100083278ER</t>
  </si>
  <si>
    <t>746885368896</t>
  </si>
  <si>
    <t>Miller Curtains Window Treatments, Preston Rod Crimson 51x108</t>
  </si>
  <si>
    <t>WC703444277108</t>
  </si>
  <si>
    <t>732998869399</t>
  </si>
  <si>
    <t>Martha Stewart Collection Country Flora Patchwork Standa Blue Standard Sham</t>
  </si>
  <si>
    <t>100079754ST</t>
  </si>
  <si>
    <t>646998620327</t>
  </si>
  <si>
    <t>CHF Trinity 51 x 84 Crinkle Voil Winter White 51x84</t>
  </si>
  <si>
    <t>1-80410GWI</t>
  </si>
  <si>
    <t>85214109206</t>
  </si>
  <si>
    <t>NoJo Happy Little Clouds Graphic-Pr Blue</t>
  </si>
  <si>
    <t>680656165805</t>
  </si>
  <si>
    <t>Decopolitan Decopolitan Tension Curtain Ro Bronze 30-48in</t>
  </si>
  <si>
    <t>30380-DB28</t>
  </si>
  <si>
    <t>651896642869</t>
  </si>
  <si>
    <t>Morgan Home Printed Plush 18 Decorative P Jungle Leopard No Size</t>
  </si>
  <si>
    <t>M642869</t>
  </si>
  <si>
    <t>651896642814</t>
  </si>
  <si>
    <t>Morgan Home LAST ACT Holiday Print Plush Furry Friends No Size</t>
  </si>
  <si>
    <t>M642814</t>
  </si>
  <si>
    <t>651896642845</t>
  </si>
  <si>
    <t>Morgan Home CLOSEOUT Printed Plush 18 De Paris Amour No Size</t>
  </si>
  <si>
    <t>M642845</t>
  </si>
  <si>
    <t>91116694702</t>
  </si>
  <si>
    <t>Sanders Solid Microfiber Twin Sheet Se Cherry Twin</t>
  </si>
  <si>
    <t>SM3SST</t>
  </si>
  <si>
    <t>DARK PINK</t>
  </si>
  <si>
    <t>85214122571</t>
  </si>
  <si>
    <t>NoJo Little Love by Nojo Rainbow Un Pink ONE SIZE</t>
  </si>
  <si>
    <t>190714335700</t>
  </si>
  <si>
    <t>Lacourte Matilda 20 x 20 Decorative P Blue 20x20</t>
  </si>
  <si>
    <t>1125446BLU20X20</t>
  </si>
  <si>
    <t>646998649618</t>
  </si>
  <si>
    <t>CHF Morocco 58 x 14 Scallop Wind Black 58x14</t>
  </si>
  <si>
    <t>1-445100BK</t>
  </si>
  <si>
    <t>646998640288</t>
  </si>
  <si>
    <t>CHF Morocco 58 x 14 Scallop Wind Gold 58x14</t>
  </si>
  <si>
    <t>1-445100GO</t>
  </si>
  <si>
    <t>732999837496</t>
  </si>
  <si>
    <t>Charter Club Cozy Plush Throw Tree Truck Dogs 50x70</t>
  </si>
  <si>
    <t>DEC PIL/THRWS</t>
  </si>
  <si>
    <t>CHARTER CLUB-EDI/JLA HOME</t>
  </si>
  <si>
    <t>734737561403</t>
  </si>
  <si>
    <t>Sunham Cotton Petite Diamond 20 x 36 Blue No Size</t>
  </si>
  <si>
    <t>R18939AB262036</t>
  </si>
  <si>
    <t>36X3X20</t>
  </si>
  <si>
    <t>746885355223</t>
  </si>
  <si>
    <t>Miller Curtains Window Treatments, Preston Rod Taupe 51x95</t>
  </si>
  <si>
    <t>WC70344407695</t>
  </si>
  <si>
    <t>646998636779</t>
  </si>
  <si>
    <t>CHF Lyric Ogee 50 x 63 Rod Pocke White 50x63</t>
  </si>
  <si>
    <t>1-412206WT</t>
  </si>
  <si>
    <t>190714392697</t>
  </si>
  <si>
    <t>Lacourte Mona 20 x 20 Decorative Pill Purple 18x18</t>
  </si>
  <si>
    <t>1128863PURPL20X20</t>
  </si>
  <si>
    <t>651896648786</t>
  </si>
  <si>
    <t>Morgan Home Typography 18 x 18 Decorative Grateful No Size</t>
  </si>
  <si>
    <t>M648786</t>
  </si>
  <si>
    <t>651896648779</t>
  </si>
  <si>
    <t>Morgan Home Typography 18 x 18 Decorative Beautiful Day No Size</t>
  </si>
  <si>
    <t>M648779</t>
  </si>
  <si>
    <t>651896648793</t>
  </si>
  <si>
    <t>Morgan Home Typography 18 x 18 Decorative Faith No Size</t>
  </si>
  <si>
    <t>M648793</t>
  </si>
  <si>
    <t>646998649601</t>
  </si>
  <si>
    <t>CHF Morocco 58 x 14 Scallop Wind Aqua 58x14</t>
  </si>
  <si>
    <t>1-445100AQ</t>
  </si>
  <si>
    <t>646998642671</t>
  </si>
  <si>
    <t>CHF Lotus Harmony 40 x 63 Geomet Seafoam 40x63</t>
  </si>
  <si>
    <t>1-824506SE</t>
  </si>
  <si>
    <t>706257404225</t>
  </si>
  <si>
    <t>Hotel Collection Sculpted 20 x 30 Cotton Hand Marine Hand Towels</t>
  </si>
  <si>
    <t>HTLSLPHMAR</t>
  </si>
  <si>
    <t>TURKISH COTTON</t>
  </si>
  <si>
    <t>732997069851</t>
  </si>
  <si>
    <t>Charter Club Damask Collection Windowpane C Clean Chambray Standard Pillowcases</t>
  </si>
  <si>
    <t>100070335SP</t>
  </si>
  <si>
    <t>746885383004</t>
  </si>
  <si>
    <t>Miller Curtains Solunar Voile 54x 84 Insulat White 54x84</t>
  </si>
  <si>
    <t>MC00X62000184</t>
  </si>
  <si>
    <t>746885369688</t>
  </si>
  <si>
    <t>Miller Curtains Miller Curtains Angelica Volie Ivory 59x108</t>
  </si>
  <si>
    <t>WC703481226108</t>
  </si>
  <si>
    <t>108X9X60/5</t>
  </si>
  <si>
    <t>746885344470</t>
  </si>
  <si>
    <t>Miller Curtains Window Treatments, Preston Rod Basil 51x84</t>
  </si>
  <si>
    <t>WC70344451884</t>
  </si>
  <si>
    <t>746885344456</t>
  </si>
  <si>
    <t>Miller Curtains Window Treatments, Preston Rod Brown 51x84</t>
  </si>
  <si>
    <t>WC70344420084</t>
  </si>
  <si>
    <t>746885344517</t>
  </si>
  <si>
    <t>Miller Curtains Window Treatments, Preston Rod White 51x84</t>
  </si>
  <si>
    <t>WC70344400184</t>
  </si>
  <si>
    <t>29927248890</t>
  </si>
  <si>
    <t>No. 918 No. 918 Calypso Voile Sheer Ro Pink 59x84</t>
  </si>
  <si>
    <t>885308138668</t>
  </si>
  <si>
    <t>Curtain Fresh Curtainfresh Grommet Voile Pan White 59x84</t>
  </si>
  <si>
    <t>11497059X084WH</t>
  </si>
  <si>
    <t>21864317714</t>
  </si>
  <si>
    <t>Avanti Antigua 13 Square Washcloth Ivory Washcloths</t>
  </si>
  <si>
    <t>035713IVR</t>
  </si>
  <si>
    <t>WASH CLOTH</t>
  </si>
  <si>
    <t>COTTON; EXCLUSIVE OF DECORATION</t>
  </si>
  <si>
    <t>21864275618</t>
  </si>
  <si>
    <t>Avanti Galaxy Fingertip Towel White</t>
  </si>
  <si>
    <t>019334WHT</t>
  </si>
  <si>
    <t>FINGER TIP</t>
  </si>
  <si>
    <t>21864348213</t>
  </si>
  <si>
    <t>Avanti Dotted Circles Fingertip Towel Mineral</t>
  </si>
  <si>
    <t>038704MIN</t>
  </si>
  <si>
    <t>21864252978</t>
  </si>
  <si>
    <t>Avanti Bath Towels, Bradford 11 x 18 Java</t>
  </si>
  <si>
    <t>017894JAV</t>
  </si>
  <si>
    <t>885308517999</t>
  </si>
  <si>
    <t>Pairs To Go Cadenza Microfiber Panel Pair Navy 40x54</t>
  </si>
  <si>
    <t>15110080X054NVY</t>
  </si>
  <si>
    <t>54 DBL</t>
  </si>
  <si>
    <t>746885344401</t>
  </si>
  <si>
    <t>Miller Curtains Window Treatments, Preston Rod Merlot 51x63</t>
  </si>
  <si>
    <t>WC70344426963</t>
  </si>
  <si>
    <t>746885369718</t>
  </si>
  <si>
    <t>Miller Curtains Miller Curtains Angelica Volie Crimson 59x84</t>
  </si>
  <si>
    <t>WC70348127784</t>
  </si>
  <si>
    <t>706254580212</t>
  </si>
  <si>
    <t>Hotel Collection Ultimate MicroCotton 16 x 30 Rose Dust Hand Towels</t>
  </si>
  <si>
    <t>HTLMCHROD</t>
  </si>
  <si>
    <t>734737632912</t>
  </si>
  <si>
    <t>Sunham Pink Botanical Garden Cotton 1 Pink Washcloths</t>
  </si>
  <si>
    <t>T21588R221313</t>
  </si>
  <si>
    <t>732995009279</t>
  </si>
  <si>
    <t>Charter Club Cotton 13 x 13 Wash Towel Dove Grey Washcloths</t>
  </si>
  <si>
    <t>608356699420</t>
  </si>
  <si>
    <t>Charter Club Elite Hygro Cotton Washcloth Black Washcloths</t>
  </si>
  <si>
    <t>CCELITEW</t>
  </si>
  <si>
    <t>86569412331</t>
  </si>
  <si>
    <t>Urban Habitat Urban Habitat Hayes 5-Pc King Gray KingCalifornia King</t>
  </si>
  <si>
    <t>UH12-2364</t>
  </si>
  <si>
    <t>883893637597</t>
  </si>
  <si>
    <t>SIESTA KEY SHAM NO Q-</t>
  </si>
  <si>
    <t>USHSGY1131758</t>
  </si>
  <si>
    <t>883893637603</t>
  </si>
  <si>
    <t>SIESTA KEY SQUARE PI</t>
  </si>
  <si>
    <t>USHSAB1131762</t>
  </si>
  <si>
    <t>191790025264</t>
  </si>
  <si>
    <t>NEUT T1200 PARKR QN BASIC</t>
  </si>
  <si>
    <t>23412103099AQT</t>
  </si>
  <si>
    <t>ASSORTED</t>
  </si>
  <si>
    <t>883893637047</t>
  </si>
  <si>
    <t>SIESTA KEY BREAKFAST</t>
  </si>
  <si>
    <t>USHSFY1131199</t>
  </si>
  <si>
    <t>732998127345</t>
  </si>
  <si>
    <t>NEW SWTH STR SHAM BASIC</t>
  </si>
  <si>
    <t>100090475ST</t>
  </si>
  <si>
    <t>841297161643</t>
  </si>
  <si>
    <t>The Peanutshell The Peanutshell Lil King Fitte Multi Crib</t>
  </si>
  <si>
    <t>1431FS</t>
  </si>
  <si>
    <t>CRIBBOTFIT</t>
  </si>
  <si>
    <t>PEANUTSHELL/FARALLON BRANDS INC</t>
  </si>
  <si>
    <t>635133106888</t>
  </si>
  <si>
    <t>BALI</t>
  </si>
  <si>
    <t>BALI10688D-12</t>
  </si>
  <si>
    <t>190714392703</t>
  </si>
  <si>
    <t>Lacourte Mona 20 x 20 Decorative Pill Charcoal 18x18</t>
  </si>
  <si>
    <t>1128863CHARC20X20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</si>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</sst>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1" fontId="18" fillId="0" borderId="11" xfId="0" applyNumberFormat="1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3"/>
  <sheetViews>
    <sheetView tabSelected="1" zoomScaleNormal="100" workbookViewId="0">
      <selection activeCell="O11" sqref="O11"/>
    </sheetView>
  </sheetViews>
  <sheetFormatPr defaultRowHeight="15" x14ac:dyDescent="0.25"/>
  <cols>
    <col min="1" max="1" width="13.140625" style="3" bestFit="1" customWidth="1"/>
    <col min="2" max="2" width="54.28515625" style="3" customWidth="1"/>
    <col min="3" max="3" width="12.42578125" style="3" bestFit="1" customWidth="1"/>
    <col min="4" max="4" width="9.85546875" style="3" bestFit="1" customWidth="1"/>
    <col min="5" max="5" width="14.7109375" style="3" bestFit="1" customWidth="1"/>
    <col min="6" max="6" width="15" style="3" customWidth="1"/>
    <col min="7" max="7" width="8.7109375" style="3" bestFit="1" customWidth="1"/>
    <col min="8" max="8" width="17.28515625" style="3" bestFit="1" customWidth="1"/>
    <col min="9" max="10" width="11.42578125" style="3" customWidth="1"/>
    <col min="11" max="11" width="10.28515625" style="3" bestFit="1" customWidth="1"/>
    <col min="12" max="12" width="21" style="3" customWidth="1"/>
    <col min="13" max="13" width="17" style="3" customWidth="1"/>
    <col min="14" max="14" width="12.140625" style="3" customWidth="1"/>
    <col min="15" max="15" width="36.5703125" style="3" bestFit="1" customWidth="1"/>
    <col min="16" max="16" width="19.85546875" style="3" bestFit="1" customWidth="1"/>
    <col min="17" max="17" width="20.7109375" style="3" customWidth="1"/>
    <col min="18" max="18" width="48.140625" style="3" bestFit="1" customWidth="1"/>
    <col min="19" max="16384" width="9.140625" style="3"/>
  </cols>
  <sheetData>
    <row r="1" spans="1:14" ht="36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</row>
    <row r="2" spans="1:14" x14ac:dyDescent="0.25">
      <c r="A2" s="20" t="s">
        <v>1902</v>
      </c>
      <c r="B2" s="17">
        <v>13401330</v>
      </c>
      <c r="C2" s="9">
        <v>13429922</v>
      </c>
      <c r="D2" s="8" t="s">
        <v>11</v>
      </c>
      <c r="E2" s="8" t="s">
        <v>11</v>
      </c>
      <c r="F2" s="8" t="s">
        <v>12</v>
      </c>
      <c r="G2" s="9">
        <v>1</v>
      </c>
      <c r="H2" s="9">
        <v>9</v>
      </c>
      <c r="I2" s="8">
        <v>228</v>
      </c>
      <c r="J2" s="10">
        <v>2964.34</v>
      </c>
      <c r="K2" s="8">
        <v>66</v>
      </c>
      <c r="L2" s="13"/>
      <c r="M2" s="13"/>
    </row>
    <row r="3" spans="1:14" x14ac:dyDescent="0.25">
      <c r="A3" s="21"/>
      <c r="B3" s="18"/>
      <c r="C3" s="9">
        <v>13429300</v>
      </c>
      <c r="D3" s="8" t="s">
        <v>11</v>
      </c>
      <c r="E3" s="8" t="s">
        <v>11</v>
      </c>
      <c r="F3" s="8" t="s">
        <v>12</v>
      </c>
      <c r="G3" s="9">
        <v>1</v>
      </c>
      <c r="H3" s="9">
        <v>15</v>
      </c>
      <c r="I3" s="8">
        <v>363</v>
      </c>
      <c r="J3" s="10">
        <v>5296.84</v>
      </c>
      <c r="K3" s="8">
        <v>116</v>
      </c>
      <c r="L3" s="13"/>
      <c r="M3" s="13"/>
    </row>
    <row r="4" spans="1:14" x14ac:dyDescent="0.25">
      <c r="A4" s="21"/>
      <c r="B4" s="18"/>
      <c r="C4" s="9">
        <v>13426403</v>
      </c>
      <c r="D4" s="8" t="s">
        <v>11</v>
      </c>
      <c r="E4" s="8" t="s">
        <v>11</v>
      </c>
      <c r="F4" s="8" t="s">
        <v>12</v>
      </c>
      <c r="G4" s="9">
        <v>1</v>
      </c>
      <c r="H4" s="9">
        <v>12</v>
      </c>
      <c r="I4" s="8">
        <v>329</v>
      </c>
      <c r="J4" s="10">
        <v>4556.17</v>
      </c>
      <c r="K4" s="8">
        <v>83</v>
      </c>
      <c r="L4" s="13"/>
      <c r="M4" s="13"/>
    </row>
    <row r="5" spans="1:14" x14ac:dyDescent="0.25">
      <c r="A5" s="21"/>
      <c r="B5" s="18"/>
      <c r="C5" s="9">
        <v>13425727</v>
      </c>
      <c r="D5" s="8" t="s">
        <v>11</v>
      </c>
      <c r="E5" s="8" t="s">
        <v>11</v>
      </c>
      <c r="F5" s="8" t="s">
        <v>12</v>
      </c>
      <c r="G5" s="9">
        <v>1</v>
      </c>
      <c r="H5" s="9">
        <v>22</v>
      </c>
      <c r="I5" s="8">
        <v>351</v>
      </c>
      <c r="J5" s="10">
        <v>5134.12</v>
      </c>
      <c r="K5" s="8">
        <v>88</v>
      </c>
      <c r="L5" s="13"/>
      <c r="M5" s="13"/>
    </row>
    <row r="6" spans="1:14" x14ac:dyDescent="0.25">
      <c r="A6" s="21"/>
      <c r="B6" s="18"/>
      <c r="C6" s="9">
        <v>13416404</v>
      </c>
      <c r="D6" s="8" t="s">
        <v>11</v>
      </c>
      <c r="E6" s="8" t="s">
        <v>11</v>
      </c>
      <c r="F6" s="8" t="s">
        <v>12</v>
      </c>
      <c r="G6" s="9">
        <v>1</v>
      </c>
      <c r="H6" s="9">
        <v>15</v>
      </c>
      <c r="I6" s="8">
        <v>297</v>
      </c>
      <c r="J6" s="10">
        <v>4701.1400000000003</v>
      </c>
      <c r="K6" s="8">
        <v>89</v>
      </c>
      <c r="L6" s="13"/>
      <c r="M6" s="13"/>
    </row>
    <row r="7" spans="1:14" x14ac:dyDescent="0.25">
      <c r="A7" s="21"/>
      <c r="B7" s="18"/>
      <c r="C7" s="9">
        <v>13415980</v>
      </c>
      <c r="D7" s="8" t="s">
        <v>11</v>
      </c>
      <c r="E7" s="8" t="s">
        <v>11</v>
      </c>
      <c r="F7" s="8" t="s">
        <v>12</v>
      </c>
      <c r="G7" s="9">
        <v>1</v>
      </c>
      <c r="H7" s="9">
        <v>14</v>
      </c>
      <c r="I7" s="8">
        <v>418</v>
      </c>
      <c r="J7" s="10">
        <v>7437.34</v>
      </c>
      <c r="K7" s="8">
        <v>125</v>
      </c>
      <c r="L7" s="13"/>
      <c r="M7" s="13"/>
    </row>
    <row r="8" spans="1:14" x14ac:dyDescent="0.25">
      <c r="A8" s="21"/>
      <c r="B8" s="18"/>
      <c r="C8" s="9">
        <v>13415722</v>
      </c>
      <c r="D8" s="8" t="s">
        <v>11</v>
      </c>
      <c r="E8" s="8" t="s">
        <v>11</v>
      </c>
      <c r="F8" s="8" t="s">
        <v>12</v>
      </c>
      <c r="G8" s="9">
        <v>1</v>
      </c>
      <c r="H8" s="9">
        <v>18</v>
      </c>
      <c r="I8" s="8">
        <v>402</v>
      </c>
      <c r="J8" s="10">
        <v>5992.93</v>
      </c>
      <c r="K8" s="8">
        <v>107</v>
      </c>
      <c r="L8" s="13"/>
      <c r="M8" s="13"/>
    </row>
    <row r="9" spans="1:14" x14ac:dyDescent="0.25">
      <c r="A9" s="21"/>
      <c r="B9" s="18"/>
      <c r="C9" s="9">
        <v>13401330</v>
      </c>
      <c r="D9" s="8" t="s">
        <v>11</v>
      </c>
      <c r="E9" s="8" t="s">
        <v>11</v>
      </c>
      <c r="F9" s="8" t="s">
        <v>12</v>
      </c>
      <c r="G9" s="9">
        <v>1</v>
      </c>
      <c r="H9" s="9">
        <v>13</v>
      </c>
      <c r="I9" s="8">
        <v>324</v>
      </c>
      <c r="J9" s="10">
        <v>5379.89</v>
      </c>
      <c r="K9" s="8">
        <v>95</v>
      </c>
      <c r="L9" s="13"/>
      <c r="M9" s="13"/>
    </row>
    <row r="10" spans="1:14" x14ac:dyDescent="0.25">
      <c r="A10" s="21"/>
      <c r="B10" s="18"/>
      <c r="C10" s="9">
        <v>13414392</v>
      </c>
      <c r="D10" s="8" t="s">
        <v>11</v>
      </c>
      <c r="E10" s="8" t="s">
        <v>11</v>
      </c>
      <c r="F10" s="8" t="s">
        <v>12</v>
      </c>
      <c r="G10" s="9">
        <v>1</v>
      </c>
      <c r="H10" s="9">
        <v>19</v>
      </c>
      <c r="I10" s="8">
        <v>366</v>
      </c>
      <c r="J10" s="10">
        <v>6588.91</v>
      </c>
      <c r="K10" s="8">
        <v>109</v>
      </c>
      <c r="L10" s="13"/>
      <c r="M10" s="13"/>
    </row>
    <row r="11" spans="1:14" x14ac:dyDescent="0.25">
      <c r="A11" s="22"/>
      <c r="B11" s="19"/>
      <c r="C11" s="9">
        <v>13411345</v>
      </c>
      <c r="D11" s="8" t="s">
        <v>11</v>
      </c>
      <c r="E11" s="8" t="s">
        <v>11</v>
      </c>
      <c r="F11" s="8" t="s">
        <v>12</v>
      </c>
      <c r="G11" s="9">
        <v>1</v>
      </c>
      <c r="H11" s="9">
        <v>15</v>
      </c>
      <c r="I11" s="8">
        <v>278</v>
      </c>
      <c r="J11" s="10">
        <v>4364.09</v>
      </c>
      <c r="K11" s="8">
        <v>91</v>
      </c>
      <c r="L11" s="13"/>
      <c r="M11" s="13"/>
    </row>
    <row r="12" spans="1:14" x14ac:dyDescent="0.25">
      <c r="A12" s="4"/>
      <c r="B12" s="5"/>
      <c r="C12" s="5"/>
      <c r="D12" s="4"/>
      <c r="E12" s="4"/>
      <c r="F12" s="1" t="s">
        <v>13</v>
      </c>
      <c r="G12" s="11">
        <v>10</v>
      </c>
      <c r="H12" s="11">
        <v>152</v>
      </c>
      <c r="I12" s="1">
        <v>3356</v>
      </c>
      <c r="J12" s="12">
        <v>52415.77</v>
      </c>
      <c r="K12" s="1">
        <v>969</v>
      </c>
      <c r="L12" s="13"/>
      <c r="M12" s="13"/>
    </row>
    <row r="13" spans="1:14" x14ac:dyDescent="0.25">
      <c r="A13" s="7"/>
      <c r="B13" s="4"/>
      <c r="C13" s="6"/>
      <c r="D13" s="6"/>
    </row>
    <row r="14" spans="1:14" s="2" customFormat="1" x14ac:dyDescent="0.25"/>
    <row r="15" spans="1:14" ht="24" x14ac:dyDescent="0.25">
      <c r="A15" s="16" t="s">
        <v>15</v>
      </c>
      <c r="B15" s="16" t="s">
        <v>16</v>
      </c>
      <c r="C15" s="16" t="s">
        <v>17</v>
      </c>
      <c r="D15" s="16" t="s">
        <v>18</v>
      </c>
      <c r="E15" s="16" t="s">
        <v>19</v>
      </c>
      <c r="F15" s="16" t="s">
        <v>20</v>
      </c>
      <c r="G15" s="16" t="s">
        <v>21</v>
      </c>
      <c r="H15" s="16" t="s">
        <v>14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</row>
    <row r="16" spans="1:14" ht="72" x14ac:dyDescent="0.25">
      <c r="A16" s="14" t="s">
        <v>1006</v>
      </c>
      <c r="B16" s="8" t="s">
        <v>1007</v>
      </c>
      <c r="C16" s="9">
        <v>1</v>
      </c>
      <c r="D16" s="10">
        <v>62.99</v>
      </c>
      <c r="E16" s="9" t="s">
        <v>1008</v>
      </c>
      <c r="F16" s="8" t="s">
        <v>114</v>
      </c>
      <c r="G16" s="14"/>
      <c r="H16" s="10">
        <v>9.5169117647058812</v>
      </c>
      <c r="I16" s="8" t="s">
        <v>47</v>
      </c>
      <c r="J16" s="8" t="s">
        <v>32</v>
      </c>
      <c r="K16" s="8" t="s">
        <v>33</v>
      </c>
      <c r="L16" s="8" t="s">
        <v>784</v>
      </c>
      <c r="M16" s="15" t="str">
        <f>HYPERLINK("http://slimages.macys.com/is/image/MCY/12490277 ")</f>
        <v xml:space="preserve">http://slimages.macys.com/is/image/MCY/12490277 </v>
      </c>
      <c r="N16" s="13"/>
    </row>
    <row r="17" spans="1:14" ht="72" x14ac:dyDescent="0.25">
      <c r="A17" s="14" t="s">
        <v>781</v>
      </c>
      <c r="B17" s="8" t="s">
        <v>782</v>
      </c>
      <c r="C17" s="9">
        <v>1</v>
      </c>
      <c r="D17" s="10">
        <v>77.989999999999995</v>
      </c>
      <c r="E17" s="9" t="s">
        <v>783</v>
      </c>
      <c r="F17" s="8" t="s">
        <v>38</v>
      </c>
      <c r="G17" s="14"/>
      <c r="H17" s="10">
        <v>11.89485294117647</v>
      </c>
      <c r="I17" s="8" t="s">
        <v>47</v>
      </c>
      <c r="J17" s="8" t="s">
        <v>32</v>
      </c>
      <c r="K17" s="8" t="s">
        <v>33</v>
      </c>
      <c r="L17" s="8" t="s">
        <v>784</v>
      </c>
      <c r="M17" s="15" t="str">
        <f>HYPERLINK("http://slimages.macys.com/is/image/MCY/12490277 ")</f>
        <v xml:space="preserve">http://slimages.macys.com/is/image/MCY/12490277 </v>
      </c>
      <c r="N17" s="13"/>
    </row>
    <row r="18" spans="1:14" ht="72" x14ac:dyDescent="0.25">
      <c r="A18" s="14" t="s">
        <v>781</v>
      </c>
      <c r="B18" s="8" t="s">
        <v>782</v>
      </c>
      <c r="C18" s="9">
        <v>2</v>
      </c>
      <c r="D18" s="10">
        <v>77.989999999999995</v>
      </c>
      <c r="E18" s="9" t="s">
        <v>783</v>
      </c>
      <c r="F18" s="8" t="s">
        <v>38</v>
      </c>
      <c r="G18" s="14"/>
      <c r="H18" s="10">
        <v>11.89485294117647</v>
      </c>
      <c r="I18" s="8" t="s">
        <v>47</v>
      </c>
      <c r="J18" s="8" t="s">
        <v>32</v>
      </c>
      <c r="K18" s="8" t="s">
        <v>33</v>
      </c>
      <c r="L18" s="8" t="s">
        <v>784</v>
      </c>
      <c r="M18" s="15" t="str">
        <f>HYPERLINK("http://slimages.macys.com/is/image/MCY/12490277 ")</f>
        <v xml:space="preserve">http://slimages.macys.com/is/image/MCY/12490277 </v>
      </c>
      <c r="N18" s="13"/>
    </row>
    <row r="19" spans="1:14" ht="144" x14ac:dyDescent="0.25">
      <c r="A19" s="14" t="s">
        <v>514</v>
      </c>
      <c r="B19" s="8" t="s">
        <v>515</v>
      </c>
      <c r="C19" s="9">
        <v>1</v>
      </c>
      <c r="D19" s="10">
        <v>124.99</v>
      </c>
      <c r="E19" s="9" t="s">
        <v>516</v>
      </c>
      <c r="F19" s="8" t="s">
        <v>45</v>
      </c>
      <c r="G19" s="14"/>
      <c r="H19" s="10">
        <v>17.616176470588233</v>
      </c>
      <c r="I19" s="8" t="s">
        <v>31</v>
      </c>
      <c r="J19" s="8" t="s">
        <v>32</v>
      </c>
      <c r="K19" s="8" t="s">
        <v>33</v>
      </c>
      <c r="L19" s="8" t="s">
        <v>454</v>
      </c>
      <c r="M19" s="15" t="str">
        <f>HYPERLINK("http://slimages.macys.com/is/image/MCY/12490006 ")</f>
        <v xml:space="preserve">http://slimages.macys.com/is/image/MCY/12490006 </v>
      </c>
      <c r="N19" s="13"/>
    </row>
    <row r="20" spans="1:14" ht="144" x14ac:dyDescent="0.25">
      <c r="A20" s="14" t="s">
        <v>451</v>
      </c>
      <c r="B20" s="8" t="s">
        <v>452</v>
      </c>
      <c r="C20" s="9">
        <v>1</v>
      </c>
      <c r="D20" s="10">
        <v>140.99</v>
      </c>
      <c r="E20" s="9" t="s">
        <v>453</v>
      </c>
      <c r="F20" s="8" t="s">
        <v>118</v>
      </c>
      <c r="G20" s="14"/>
      <c r="H20" s="10">
        <v>19.817647058823528</v>
      </c>
      <c r="I20" s="8" t="s">
        <v>31</v>
      </c>
      <c r="J20" s="8" t="s">
        <v>32</v>
      </c>
      <c r="K20" s="8" t="s">
        <v>33</v>
      </c>
      <c r="L20" s="8" t="s">
        <v>454</v>
      </c>
      <c r="M20" s="15" t="str">
        <f>HYPERLINK("http://slimages.macys.com/is/image/MCY/12490103 ")</f>
        <v xml:space="preserve">http://slimages.macys.com/is/image/MCY/12490103 </v>
      </c>
      <c r="N20" s="13"/>
    </row>
    <row r="21" spans="1:14" ht="36" x14ac:dyDescent="0.25">
      <c r="A21" s="14" t="s">
        <v>1269</v>
      </c>
      <c r="B21" s="8" t="s">
        <v>1270</v>
      </c>
      <c r="C21" s="9">
        <v>1</v>
      </c>
      <c r="D21" s="10">
        <v>40.99</v>
      </c>
      <c r="E21" s="9" t="s">
        <v>1271</v>
      </c>
      <c r="F21" s="8" t="s">
        <v>38</v>
      </c>
      <c r="G21" s="14" t="s">
        <v>1272</v>
      </c>
      <c r="H21" s="10">
        <v>7.138970588235293</v>
      </c>
      <c r="I21" s="8" t="s">
        <v>47</v>
      </c>
      <c r="J21" s="8" t="s">
        <v>1234</v>
      </c>
      <c r="K21" s="8" t="s">
        <v>33</v>
      </c>
      <c r="L21" s="8" t="s">
        <v>1235</v>
      </c>
      <c r="M21" s="15" t="str">
        <f>HYPERLINK("http://slimages.macys.com/is/image/MCY/10184277 ")</f>
        <v xml:space="preserve">http://slimages.macys.com/is/image/MCY/10184277 </v>
      </c>
      <c r="N21" s="13"/>
    </row>
    <row r="22" spans="1:14" ht="36" x14ac:dyDescent="0.25">
      <c r="A22" s="14" t="s">
        <v>1231</v>
      </c>
      <c r="B22" s="8" t="s">
        <v>1232</v>
      </c>
      <c r="C22" s="9">
        <v>1</v>
      </c>
      <c r="D22" s="10">
        <v>42.99</v>
      </c>
      <c r="E22" s="9" t="s">
        <v>1233</v>
      </c>
      <c r="F22" s="8" t="s">
        <v>38</v>
      </c>
      <c r="G22" s="14"/>
      <c r="H22" s="10">
        <v>7.4992647058823527</v>
      </c>
      <c r="I22" s="8" t="s">
        <v>47</v>
      </c>
      <c r="J22" s="8" t="s">
        <v>1234</v>
      </c>
      <c r="K22" s="8" t="s">
        <v>33</v>
      </c>
      <c r="L22" s="8" t="s">
        <v>1235</v>
      </c>
      <c r="M22" s="15" t="str">
        <f>HYPERLINK("http://slimages.macys.com/is/image/MCY/10184279 ")</f>
        <v xml:space="preserve">http://slimages.macys.com/is/image/MCY/10184279 </v>
      </c>
      <c r="N22" s="13"/>
    </row>
    <row r="23" spans="1:14" ht="36" x14ac:dyDescent="0.25">
      <c r="A23" s="14" t="s">
        <v>1408</v>
      </c>
      <c r="B23" s="8" t="s">
        <v>1409</v>
      </c>
      <c r="C23" s="9">
        <v>2</v>
      </c>
      <c r="D23" s="10">
        <v>34.99</v>
      </c>
      <c r="E23" s="9" t="s">
        <v>1410</v>
      </c>
      <c r="F23" s="8" t="s">
        <v>30</v>
      </c>
      <c r="G23" s="14"/>
      <c r="H23" s="10">
        <v>6.0169117647058821</v>
      </c>
      <c r="I23" s="8" t="s">
        <v>47</v>
      </c>
      <c r="J23" s="8" t="s">
        <v>1234</v>
      </c>
      <c r="K23" s="8" t="s">
        <v>33</v>
      </c>
      <c r="L23" s="8" t="s">
        <v>49</v>
      </c>
      <c r="M23" s="15" t="str">
        <f>HYPERLINK("http://slimages.macys.com/is/image/MCY/11685937 ")</f>
        <v xml:space="preserve">http://slimages.macys.com/is/image/MCY/11685937 </v>
      </c>
      <c r="N23" s="13"/>
    </row>
    <row r="24" spans="1:14" ht="36" x14ac:dyDescent="0.25">
      <c r="A24" s="14" t="s">
        <v>1408</v>
      </c>
      <c r="B24" s="8" t="s">
        <v>1409</v>
      </c>
      <c r="C24" s="9">
        <v>3</v>
      </c>
      <c r="D24" s="10">
        <v>34.99</v>
      </c>
      <c r="E24" s="9" t="s">
        <v>1410</v>
      </c>
      <c r="F24" s="8" t="s">
        <v>30</v>
      </c>
      <c r="G24" s="14"/>
      <c r="H24" s="10">
        <v>6.0169117647058821</v>
      </c>
      <c r="I24" s="8" t="s">
        <v>47</v>
      </c>
      <c r="J24" s="8" t="s">
        <v>1234</v>
      </c>
      <c r="K24" s="8" t="s">
        <v>33</v>
      </c>
      <c r="L24" s="8" t="s">
        <v>49</v>
      </c>
      <c r="M24" s="15" t="str">
        <f>HYPERLINK("http://slimages.macys.com/is/image/MCY/11685937 ")</f>
        <v xml:space="preserve">http://slimages.macys.com/is/image/MCY/11685937 </v>
      </c>
      <c r="N24" s="13"/>
    </row>
    <row r="25" spans="1:14" ht="36" x14ac:dyDescent="0.25">
      <c r="A25" s="14" t="s">
        <v>1564</v>
      </c>
      <c r="B25" s="8" t="s">
        <v>1565</v>
      </c>
      <c r="C25" s="9">
        <v>1</v>
      </c>
      <c r="D25" s="10">
        <v>27.99</v>
      </c>
      <c r="E25" s="9" t="s">
        <v>1566</v>
      </c>
      <c r="F25" s="8" t="s">
        <v>1206</v>
      </c>
      <c r="G25" s="14"/>
      <c r="H25" s="10">
        <v>4.8022058823529408</v>
      </c>
      <c r="I25" s="8" t="s">
        <v>47</v>
      </c>
      <c r="J25" s="8" t="s">
        <v>1234</v>
      </c>
      <c r="K25" s="8" t="s">
        <v>33</v>
      </c>
      <c r="L25" s="8" t="s">
        <v>200</v>
      </c>
      <c r="M25" s="15" t="str">
        <f>HYPERLINK("http://slimages.macys.com/is/image/MCY/11686081 ")</f>
        <v xml:space="preserve">http://slimages.macys.com/is/image/MCY/11686081 </v>
      </c>
      <c r="N25" s="13"/>
    </row>
    <row r="26" spans="1:14" ht="36" x14ac:dyDescent="0.25">
      <c r="A26" s="14" t="s">
        <v>1357</v>
      </c>
      <c r="B26" s="8" t="s">
        <v>1358</v>
      </c>
      <c r="C26" s="9">
        <v>1</v>
      </c>
      <c r="D26" s="10">
        <v>35.99</v>
      </c>
      <c r="E26" s="9" t="s">
        <v>1359</v>
      </c>
      <c r="F26" s="8" t="s">
        <v>726</v>
      </c>
      <c r="G26" s="14"/>
      <c r="H26" s="10">
        <v>6.2999999999999989</v>
      </c>
      <c r="I26" s="8" t="s">
        <v>47</v>
      </c>
      <c r="J26" s="8" t="s">
        <v>1234</v>
      </c>
      <c r="K26" s="8" t="s">
        <v>33</v>
      </c>
      <c r="L26" s="8" t="s">
        <v>49</v>
      </c>
      <c r="M26" s="15" t="str">
        <f>HYPERLINK("http://slimages.macys.com/is/image/MCY/11685231 ")</f>
        <v xml:space="preserve">http://slimages.macys.com/is/image/MCY/11685231 </v>
      </c>
      <c r="N26" s="13"/>
    </row>
    <row r="27" spans="1:14" ht="36" x14ac:dyDescent="0.25">
      <c r="A27" s="14" t="s">
        <v>1594</v>
      </c>
      <c r="B27" s="8" t="s">
        <v>1595</v>
      </c>
      <c r="C27" s="9">
        <v>2</v>
      </c>
      <c r="D27" s="10">
        <v>25.99</v>
      </c>
      <c r="E27" s="9" t="s">
        <v>1596</v>
      </c>
      <c r="F27" s="8" t="s">
        <v>118</v>
      </c>
      <c r="G27" s="14"/>
      <c r="H27" s="10">
        <v>4.519117647058823</v>
      </c>
      <c r="I27" s="8" t="s">
        <v>47</v>
      </c>
      <c r="J27" s="8" t="s">
        <v>1234</v>
      </c>
      <c r="K27" s="8" t="s">
        <v>33</v>
      </c>
      <c r="L27" s="8" t="s">
        <v>49</v>
      </c>
      <c r="M27" s="15" t="str">
        <f>HYPERLINK("http://slimages.macys.com/is/image/MCY/11685287 ")</f>
        <v xml:space="preserve">http://slimages.macys.com/is/image/MCY/11685287 </v>
      </c>
      <c r="N27" s="13"/>
    </row>
    <row r="28" spans="1:14" ht="36" x14ac:dyDescent="0.25">
      <c r="A28" s="14" t="s">
        <v>1555</v>
      </c>
      <c r="B28" s="8" t="s">
        <v>1556</v>
      </c>
      <c r="C28" s="9">
        <v>1</v>
      </c>
      <c r="D28" s="10">
        <v>27.99</v>
      </c>
      <c r="E28" s="9" t="s">
        <v>1557</v>
      </c>
      <c r="F28" s="8" t="s">
        <v>114</v>
      </c>
      <c r="G28" s="14"/>
      <c r="H28" s="10">
        <v>4.8279411764705875</v>
      </c>
      <c r="I28" s="8" t="s">
        <v>47</v>
      </c>
      <c r="J28" s="8" t="s">
        <v>1234</v>
      </c>
      <c r="K28" s="8" t="s">
        <v>33</v>
      </c>
      <c r="L28" s="8" t="s">
        <v>49</v>
      </c>
      <c r="M28" s="15" t="str">
        <f>HYPERLINK("http://slimages.macys.com/is/image/MCY/11685368 ")</f>
        <v xml:space="preserve">http://slimages.macys.com/is/image/MCY/11685368 </v>
      </c>
      <c r="N28" s="13"/>
    </row>
    <row r="29" spans="1:14" ht="36" x14ac:dyDescent="0.25">
      <c r="A29" s="14" t="s">
        <v>597</v>
      </c>
      <c r="B29" s="8" t="s">
        <v>598</v>
      </c>
      <c r="C29" s="9">
        <v>3</v>
      </c>
      <c r="D29" s="10">
        <v>78.989999999999995</v>
      </c>
      <c r="E29" s="9">
        <v>3214</v>
      </c>
      <c r="F29" s="8" t="s">
        <v>30</v>
      </c>
      <c r="G29" s="14"/>
      <c r="H29" s="10">
        <v>16.161764705882351</v>
      </c>
      <c r="I29" s="8" t="s">
        <v>101</v>
      </c>
      <c r="J29" s="8" t="s">
        <v>599</v>
      </c>
      <c r="K29" s="8" t="s">
        <v>33</v>
      </c>
      <c r="L29" s="8" t="s">
        <v>200</v>
      </c>
      <c r="M29" s="15" t="str">
        <f>HYPERLINK("http://slimages.macys.com/is/image/MCY/14370751 ")</f>
        <v xml:space="preserve">http://slimages.macys.com/is/image/MCY/14370751 </v>
      </c>
      <c r="N29" s="13"/>
    </row>
    <row r="30" spans="1:14" ht="36" x14ac:dyDescent="0.25">
      <c r="A30" s="14" t="s">
        <v>680</v>
      </c>
      <c r="B30" s="8" t="s">
        <v>681</v>
      </c>
      <c r="C30" s="9">
        <v>1</v>
      </c>
      <c r="D30" s="10">
        <v>59.99</v>
      </c>
      <c r="E30" s="9" t="s">
        <v>682</v>
      </c>
      <c r="F30" s="8" t="s">
        <v>217</v>
      </c>
      <c r="G30" s="14"/>
      <c r="H30" s="10">
        <v>13.235294117647058</v>
      </c>
      <c r="I30" s="8" t="s">
        <v>555</v>
      </c>
      <c r="J30" s="8" t="s">
        <v>556</v>
      </c>
      <c r="K30" s="8"/>
      <c r="L30" s="8"/>
      <c r="M30" s="15" t="str">
        <f t="shared" ref="M30:M39" si="0">HYPERLINK("http://slimages.macys.com/is/image/MCY/18064918 ")</f>
        <v xml:space="preserve">http://slimages.macys.com/is/image/MCY/18064918 </v>
      </c>
      <c r="N30" s="13"/>
    </row>
    <row r="31" spans="1:14" ht="36" x14ac:dyDescent="0.25">
      <c r="A31" s="14" t="s">
        <v>689</v>
      </c>
      <c r="B31" s="8" t="s">
        <v>690</v>
      </c>
      <c r="C31" s="9">
        <v>4</v>
      </c>
      <c r="D31" s="10">
        <v>59.99</v>
      </c>
      <c r="E31" s="9" t="s">
        <v>691</v>
      </c>
      <c r="F31" s="8" t="s">
        <v>217</v>
      </c>
      <c r="G31" s="14"/>
      <c r="H31" s="10">
        <v>13.235294117647058</v>
      </c>
      <c r="I31" s="8" t="s">
        <v>555</v>
      </c>
      <c r="J31" s="8" t="s">
        <v>556</v>
      </c>
      <c r="K31" s="8"/>
      <c r="L31" s="8"/>
      <c r="M31" s="15" t="str">
        <f t="shared" si="0"/>
        <v xml:space="preserve">http://slimages.macys.com/is/image/MCY/18064918 </v>
      </c>
      <c r="N31" s="13"/>
    </row>
    <row r="32" spans="1:14" ht="36" x14ac:dyDescent="0.25">
      <c r="A32" s="14" t="s">
        <v>674</v>
      </c>
      <c r="B32" s="8" t="s">
        <v>675</v>
      </c>
      <c r="C32" s="9">
        <v>3</v>
      </c>
      <c r="D32" s="10">
        <v>59.99</v>
      </c>
      <c r="E32" s="9" t="s">
        <v>676</v>
      </c>
      <c r="F32" s="8" t="s">
        <v>38</v>
      </c>
      <c r="G32" s="14"/>
      <c r="H32" s="10">
        <v>13.235294117647058</v>
      </c>
      <c r="I32" s="8" t="s">
        <v>555</v>
      </c>
      <c r="J32" s="8" t="s">
        <v>556</v>
      </c>
      <c r="K32" s="8"/>
      <c r="L32" s="8"/>
      <c r="M32" s="15" t="str">
        <f t="shared" si="0"/>
        <v xml:space="preserve">http://slimages.macys.com/is/image/MCY/18064918 </v>
      </c>
      <c r="N32" s="13"/>
    </row>
    <row r="33" spans="1:14" ht="36" x14ac:dyDescent="0.25">
      <c r="A33" s="14" t="s">
        <v>677</v>
      </c>
      <c r="B33" s="8" t="s">
        <v>678</v>
      </c>
      <c r="C33" s="9">
        <v>3</v>
      </c>
      <c r="D33" s="10">
        <v>59.99</v>
      </c>
      <c r="E33" s="9" t="s">
        <v>679</v>
      </c>
      <c r="F33" s="8" t="s">
        <v>38</v>
      </c>
      <c r="G33" s="14"/>
      <c r="H33" s="10">
        <v>13.235294117647058</v>
      </c>
      <c r="I33" s="8" t="s">
        <v>555</v>
      </c>
      <c r="J33" s="8" t="s">
        <v>556</v>
      </c>
      <c r="K33" s="8"/>
      <c r="L33" s="8"/>
      <c r="M33" s="15" t="str">
        <f t="shared" si="0"/>
        <v xml:space="preserve">http://slimages.macys.com/is/image/MCY/18064918 </v>
      </c>
      <c r="N33" s="13"/>
    </row>
    <row r="34" spans="1:14" ht="36" x14ac:dyDescent="0.25">
      <c r="A34" s="14" t="s">
        <v>677</v>
      </c>
      <c r="B34" s="8" t="s">
        <v>678</v>
      </c>
      <c r="C34" s="9">
        <v>6</v>
      </c>
      <c r="D34" s="10">
        <v>59.99</v>
      </c>
      <c r="E34" s="9" t="s">
        <v>679</v>
      </c>
      <c r="F34" s="8" t="s">
        <v>38</v>
      </c>
      <c r="G34" s="14"/>
      <c r="H34" s="10">
        <v>13.235294117647058</v>
      </c>
      <c r="I34" s="8" t="s">
        <v>555</v>
      </c>
      <c r="J34" s="8" t="s">
        <v>556</v>
      </c>
      <c r="K34" s="8"/>
      <c r="L34" s="8"/>
      <c r="M34" s="15" t="str">
        <f t="shared" si="0"/>
        <v xml:space="preserve">http://slimages.macys.com/is/image/MCY/18064918 </v>
      </c>
      <c r="N34" s="13"/>
    </row>
    <row r="35" spans="1:14" ht="36" x14ac:dyDescent="0.25">
      <c r="A35" s="14" t="s">
        <v>677</v>
      </c>
      <c r="B35" s="8" t="s">
        <v>678</v>
      </c>
      <c r="C35" s="9">
        <v>1</v>
      </c>
      <c r="D35" s="10">
        <v>59.99</v>
      </c>
      <c r="E35" s="9" t="s">
        <v>679</v>
      </c>
      <c r="F35" s="8" t="s">
        <v>38</v>
      </c>
      <c r="G35" s="14"/>
      <c r="H35" s="10">
        <v>13.235294117647058</v>
      </c>
      <c r="I35" s="8" t="s">
        <v>555</v>
      </c>
      <c r="J35" s="8" t="s">
        <v>556</v>
      </c>
      <c r="K35" s="8"/>
      <c r="L35" s="8"/>
      <c r="M35" s="15" t="str">
        <f t="shared" si="0"/>
        <v xml:space="preserve">http://slimages.macys.com/is/image/MCY/18064918 </v>
      </c>
      <c r="N35" s="13"/>
    </row>
    <row r="36" spans="1:14" ht="36" x14ac:dyDescent="0.25">
      <c r="A36" s="14" t="s">
        <v>677</v>
      </c>
      <c r="B36" s="8" t="s">
        <v>678</v>
      </c>
      <c r="C36" s="9">
        <v>1</v>
      </c>
      <c r="D36" s="10">
        <v>59.99</v>
      </c>
      <c r="E36" s="9" t="s">
        <v>679</v>
      </c>
      <c r="F36" s="8" t="s">
        <v>38</v>
      </c>
      <c r="G36" s="14"/>
      <c r="H36" s="10">
        <v>13.235294117647058</v>
      </c>
      <c r="I36" s="8" t="s">
        <v>555</v>
      </c>
      <c r="J36" s="8" t="s">
        <v>556</v>
      </c>
      <c r="K36" s="8"/>
      <c r="L36" s="8"/>
      <c r="M36" s="15" t="str">
        <f t="shared" si="0"/>
        <v xml:space="preserve">http://slimages.macys.com/is/image/MCY/18064918 </v>
      </c>
      <c r="N36" s="13"/>
    </row>
    <row r="37" spans="1:14" ht="36" x14ac:dyDescent="0.25">
      <c r="A37" s="14" t="s">
        <v>686</v>
      </c>
      <c r="B37" s="8" t="s">
        <v>687</v>
      </c>
      <c r="C37" s="9">
        <v>1</v>
      </c>
      <c r="D37" s="10">
        <v>59.99</v>
      </c>
      <c r="E37" s="9" t="s">
        <v>688</v>
      </c>
      <c r="F37" s="8" t="s">
        <v>30</v>
      </c>
      <c r="G37" s="14"/>
      <c r="H37" s="10">
        <v>13.235294117647058</v>
      </c>
      <c r="I37" s="8" t="s">
        <v>555</v>
      </c>
      <c r="J37" s="8" t="s">
        <v>556</v>
      </c>
      <c r="K37" s="8"/>
      <c r="L37" s="8"/>
      <c r="M37" s="15" t="str">
        <f t="shared" si="0"/>
        <v xml:space="preserve">http://slimages.macys.com/is/image/MCY/18064918 </v>
      </c>
      <c r="N37" s="13"/>
    </row>
    <row r="38" spans="1:14" ht="36" x14ac:dyDescent="0.25">
      <c r="A38" s="14" t="s">
        <v>683</v>
      </c>
      <c r="B38" s="8" t="s">
        <v>684</v>
      </c>
      <c r="C38" s="9">
        <v>1</v>
      </c>
      <c r="D38" s="10">
        <v>59.99</v>
      </c>
      <c r="E38" s="9" t="s">
        <v>685</v>
      </c>
      <c r="F38" s="8" t="s">
        <v>30</v>
      </c>
      <c r="G38" s="14"/>
      <c r="H38" s="10">
        <v>13.235294117647058</v>
      </c>
      <c r="I38" s="8" t="s">
        <v>555</v>
      </c>
      <c r="J38" s="8" t="s">
        <v>556</v>
      </c>
      <c r="K38" s="8"/>
      <c r="L38" s="8"/>
      <c r="M38" s="15" t="str">
        <f t="shared" si="0"/>
        <v xml:space="preserve">http://slimages.macys.com/is/image/MCY/18064918 </v>
      </c>
      <c r="N38" s="13"/>
    </row>
    <row r="39" spans="1:14" ht="36" x14ac:dyDescent="0.25">
      <c r="A39" s="14" t="s">
        <v>683</v>
      </c>
      <c r="B39" s="8" t="s">
        <v>684</v>
      </c>
      <c r="C39" s="9">
        <v>1</v>
      </c>
      <c r="D39" s="10">
        <v>59.99</v>
      </c>
      <c r="E39" s="9" t="s">
        <v>685</v>
      </c>
      <c r="F39" s="8" t="s">
        <v>30</v>
      </c>
      <c r="G39" s="14"/>
      <c r="H39" s="10">
        <v>13.235294117647058</v>
      </c>
      <c r="I39" s="8" t="s">
        <v>555</v>
      </c>
      <c r="J39" s="8" t="s">
        <v>556</v>
      </c>
      <c r="K39" s="8"/>
      <c r="L39" s="8"/>
      <c r="M39" s="15" t="str">
        <f t="shared" si="0"/>
        <v xml:space="preserve">http://slimages.macys.com/is/image/MCY/18064918 </v>
      </c>
      <c r="N39" s="13"/>
    </row>
    <row r="40" spans="1:14" ht="48" x14ac:dyDescent="0.25">
      <c r="A40" s="14" t="s">
        <v>1836</v>
      </c>
      <c r="B40" s="8" t="s">
        <v>1837</v>
      </c>
      <c r="C40" s="9">
        <v>2</v>
      </c>
      <c r="D40" s="10">
        <v>9.99</v>
      </c>
      <c r="E40" s="9" t="s">
        <v>1838</v>
      </c>
      <c r="F40" s="8" t="s">
        <v>85</v>
      </c>
      <c r="G40" s="14" t="s">
        <v>1839</v>
      </c>
      <c r="H40" s="10">
        <v>2.3342647058823527</v>
      </c>
      <c r="I40" s="8" t="s">
        <v>402</v>
      </c>
      <c r="J40" s="8" t="s">
        <v>1502</v>
      </c>
      <c r="K40" s="8" t="s">
        <v>91</v>
      </c>
      <c r="L40" s="8" t="s">
        <v>1840</v>
      </c>
      <c r="M40" s="15" t="str">
        <f>HYPERLINK("http://slimages.macys.com/is/image/MCY/1588239 ")</f>
        <v xml:space="preserve">http://slimages.macys.com/is/image/MCY/1588239 </v>
      </c>
      <c r="N40" s="13"/>
    </row>
    <row r="41" spans="1:14" ht="48" x14ac:dyDescent="0.25">
      <c r="A41" s="14" t="s">
        <v>1848</v>
      </c>
      <c r="B41" s="8" t="s">
        <v>1849</v>
      </c>
      <c r="C41" s="9">
        <v>1</v>
      </c>
      <c r="D41" s="10">
        <v>9.99</v>
      </c>
      <c r="E41" s="9" t="s">
        <v>1850</v>
      </c>
      <c r="F41" s="8"/>
      <c r="G41" s="14" t="s">
        <v>1844</v>
      </c>
      <c r="H41" s="10">
        <v>2.3342647058823527</v>
      </c>
      <c r="I41" s="8" t="s">
        <v>699</v>
      </c>
      <c r="J41" s="8" t="s">
        <v>1502</v>
      </c>
      <c r="K41" s="8" t="s">
        <v>33</v>
      </c>
      <c r="L41" s="8" t="s">
        <v>1503</v>
      </c>
      <c r="M41" s="15" t="str">
        <f>HYPERLINK("http://slimages.macys.com/is/image/MCY/807332 ")</f>
        <v xml:space="preserve">http://slimages.macys.com/is/image/MCY/807332 </v>
      </c>
      <c r="N41" s="13"/>
    </row>
    <row r="42" spans="1:14" ht="48" x14ac:dyDescent="0.25">
      <c r="A42" s="14" t="s">
        <v>1498</v>
      </c>
      <c r="B42" s="8" t="s">
        <v>1499</v>
      </c>
      <c r="C42" s="9">
        <v>3</v>
      </c>
      <c r="D42" s="10">
        <v>19.989999999999998</v>
      </c>
      <c r="E42" s="9" t="s">
        <v>1500</v>
      </c>
      <c r="F42" s="8"/>
      <c r="G42" s="14" t="s">
        <v>1501</v>
      </c>
      <c r="H42" s="10">
        <v>5.1908823529411761</v>
      </c>
      <c r="I42" s="8" t="s">
        <v>699</v>
      </c>
      <c r="J42" s="8" t="s">
        <v>1502</v>
      </c>
      <c r="K42" s="8" t="s">
        <v>33</v>
      </c>
      <c r="L42" s="8" t="s">
        <v>1503</v>
      </c>
      <c r="M42" s="15" t="str">
        <f>HYPERLINK("http://slimages.macys.com/is/image/MCY/807332 ")</f>
        <v xml:space="preserve">http://slimages.macys.com/is/image/MCY/807332 </v>
      </c>
      <c r="N42" s="13"/>
    </row>
    <row r="43" spans="1:14" ht="48" x14ac:dyDescent="0.25">
      <c r="A43" s="14" t="s">
        <v>1845</v>
      </c>
      <c r="B43" s="8" t="s">
        <v>1846</v>
      </c>
      <c r="C43" s="9">
        <v>4</v>
      </c>
      <c r="D43" s="10">
        <v>9.99</v>
      </c>
      <c r="E43" s="9" t="s">
        <v>1847</v>
      </c>
      <c r="F43" s="8" t="s">
        <v>96</v>
      </c>
      <c r="G43" s="14" t="s">
        <v>1844</v>
      </c>
      <c r="H43" s="10">
        <v>2.3342647058823527</v>
      </c>
      <c r="I43" s="8" t="s">
        <v>699</v>
      </c>
      <c r="J43" s="8" t="s">
        <v>1502</v>
      </c>
      <c r="K43" s="8" t="s">
        <v>1669</v>
      </c>
      <c r="L43" s="8" t="s">
        <v>56</v>
      </c>
      <c r="M43" s="15" t="str">
        <f>HYPERLINK("http://slimages.macys.com/is/image/MCY/3878731 ")</f>
        <v xml:space="preserve">http://slimages.macys.com/is/image/MCY/3878731 </v>
      </c>
      <c r="N43" s="13"/>
    </row>
    <row r="44" spans="1:14" ht="48" x14ac:dyDescent="0.25">
      <c r="A44" s="14" t="s">
        <v>1665</v>
      </c>
      <c r="B44" s="8" t="s">
        <v>1666</v>
      </c>
      <c r="C44" s="9">
        <v>2</v>
      </c>
      <c r="D44" s="10">
        <v>14.99</v>
      </c>
      <c r="E44" s="9" t="s">
        <v>1667</v>
      </c>
      <c r="F44" s="8" t="s">
        <v>30</v>
      </c>
      <c r="G44" s="14" t="s">
        <v>1668</v>
      </c>
      <c r="H44" s="10">
        <v>3.9720588235294114</v>
      </c>
      <c r="I44" s="8" t="s">
        <v>699</v>
      </c>
      <c r="J44" s="8" t="s">
        <v>1502</v>
      </c>
      <c r="K44" s="8" t="s">
        <v>1669</v>
      </c>
      <c r="L44" s="8" t="s">
        <v>56</v>
      </c>
      <c r="M44" s="15" t="str">
        <f>HYPERLINK("http://slimages.macys.com/is/image/MCY/3878731 ")</f>
        <v xml:space="preserve">http://slimages.macys.com/is/image/MCY/3878731 </v>
      </c>
      <c r="N44" s="13"/>
    </row>
    <row r="45" spans="1:14" ht="48" x14ac:dyDescent="0.25">
      <c r="A45" s="14" t="s">
        <v>1841</v>
      </c>
      <c r="B45" s="8" t="s">
        <v>1842</v>
      </c>
      <c r="C45" s="9">
        <v>6</v>
      </c>
      <c r="D45" s="10">
        <v>8.99</v>
      </c>
      <c r="E45" s="9" t="s">
        <v>1843</v>
      </c>
      <c r="F45" s="8" t="s">
        <v>30</v>
      </c>
      <c r="G45" s="14" t="s">
        <v>1844</v>
      </c>
      <c r="H45" s="10">
        <v>2.3342647058823527</v>
      </c>
      <c r="I45" s="8" t="s">
        <v>699</v>
      </c>
      <c r="J45" s="8" t="s">
        <v>1502</v>
      </c>
      <c r="K45" s="8" t="s">
        <v>33</v>
      </c>
      <c r="L45" s="8" t="s">
        <v>214</v>
      </c>
      <c r="M45" s="15" t="str">
        <f>HYPERLINK("http://slimages.macys.com/is/image/MCY/1412025 ")</f>
        <v xml:space="preserve">http://slimages.macys.com/is/image/MCY/1412025 </v>
      </c>
      <c r="N45" s="13"/>
    </row>
    <row r="46" spans="1:14" ht="36" x14ac:dyDescent="0.25">
      <c r="A46" s="14" t="s">
        <v>444</v>
      </c>
      <c r="B46" s="8" t="s">
        <v>445</v>
      </c>
      <c r="C46" s="9">
        <v>1</v>
      </c>
      <c r="D46" s="10">
        <v>99.99</v>
      </c>
      <c r="E46" s="9" t="s">
        <v>446</v>
      </c>
      <c r="F46" s="8" t="s">
        <v>118</v>
      </c>
      <c r="G46" s="14"/>
      <c r="H46" s="10">
        <v>20.001470588235293</v>
      </c>
      <c r="I46" s="8" t="s">
        <v>47</v>
      </c>
      <c r="J46" s="8" t="s">
        <v>447</v>
      </c>
      <c r="K46" s="8"/>
      <c r="L46" s="8"/>
      <c r="M46" s="15" t="str">
        <f>HYPERLINK("http://slimages.macys.com/is/image/MCY/17896667 ")</f>
        <v xml:space="preserve">http://slimages.macys.com/is/image/MCY/17896667 </v>
      </c>
      <c r="N46" s="13"/>
    </row>
    <row r="47" spans="1:14" ht="36" x14ac:dyDescent="0.25">
      <c r="A47" s="14" t="s">
        <v>1896</v>
      </c>
      <c r="B47" s="8" t="s">
        <v>1897</v>
      </c>
      <c r="C47" s="9">
        <v>1</v>
      </c>
      <c r="D47" s="10">
        <v>21.99</v>
      </c>
      <c r="E47" s="9" t="s">
        <v>1898</v>
      </c>
      <c r="F47" s="8" t="s">
        <v>30</v>
      </c>
      <c r="G47" s="14"/>
      <c r="H47" s="10">
        <v>4.5617647058823527</v>
      </c>
      <c r="I47" s="8" t="s">
        <v>31</v>
      </c>
      <c r="J47" s="8" t="s">
        <v>788</v>
      </c>
      <c r="K47" s="8"/>
      <c r="L47" s="8"/>
      <c r="M47" s="15"/>
      <c r="N47" s="13"/>
    </row>
    <row r="48" spans="1:14" ht="48" x14ac:dyDescent="0.25">
      <c r="A48" s="14" t="s">
        <v>1532</v>
      </c>
      <c r="B48" s="8" t="s">
        <v>1533</v>
      </c>
      <c r="C48" s="9">
        <v>3</v>
      </c>
      <c r="D48" s="10">
        <v>20.99</v>
      </c>
      <c r="E48" s="9" t="s">
        <v>1534</v>
      </c>
      <c r="F48" s="8" t="s">
        <v>30</v>
      </c>
      <c r="G48" s="14" t="s">
        <v>46</v>
      </c>
      <c r="H48" s="10">
        <v>5.0330882352941169</v>
      </c>
      <c r="I48" s="8" t="s">
        <v>402</v>
      </c>
      <c r="J48" s="8" t="s">
        <v>1535</v>
      </c>
      <c r="K48" s="8" t="s">
        <v>33</v>
      </c>
      <c r="L48" s="8" t="s">
        <v>1536</v>
      </c>
      <c r="M48" s="15" t="str">
        <f>HYPERLINK("http://slimages.macys.com/is/image/MCY/11311376 ")</f>
        <v xml:space="preserve">http://slimages.macys.com/is/image/MCY/11311376 </v>
      </c>
      <c r="N48" s="13"/>
    </row>
    <row r="49" spans="1:14" ht="36" x14ac:dyDescent="0.25">
      <c r="A49" s="14" t="s">
        <v>170</v>
      </c>
      <c r="B49" s="8" t="s">
        <v>171</v>
      </c>
      <c r="C49" s="9">
        <v>1</v>
      </c>
      <c r="D49" s="10">
        <v>207.99</v>
      </c>
      <c r="E49" s="9" t="s">
        <v>172</v>
      </c>
      <c r="F49" s="8" t="s">
        <v>173</v>
      </c>
      <c r="G49" s="14"/>
      <c r="H49" s="10">
        <v>31.208823529411763</v>
      </c>
      <c r="I49" s="8" t="s">
        <v>31</v>
      </c>
      <c r="J49" s="8" t="s">
        <v>174</v>
      </c>
      <c r="K49" s="8" t="s">
        <v>33</v>
      </c>
      <c r="L49" s="8" t="s">
        <v>56</v>
      </c>
      <c r="M49" s="15" t="str">
        <f>HYPERLINK("http://slimages.macys.com/is/image/MCY/13045882 ")</f>
        <v xml:space="preserve">http://slimages.macys.com/is/image/MCY/13045882 </v>
      </c>
      <c r="N49" s="13"/>
    </row>
    <row r="50" spans="1:14" ht="36" x14ac:dyDescent="0.25">
      <c r="A50" s="14" t="s">
        <v>908</v>
      </c>
      <c r="B50" s="8" t="s">
        <v>909</v>
      </c>
      <c r="C50" s="9">
        <v>2</v>
      </c>
      <c r="D50" s="10">
        <v>44.99</v>
      </c>
      <c r="E50" s="9" t="s">
        <v>910</v>
      </c>
      <c r="F50" s="8" t="s">
        <v>85</v>
      </c>
      <c r="G50" s="14" t="s">
        <v>46</v>
      </c>
      <c r="H50" s="10">
        <v>10.294117647058822</v>
      </c>
      <c r="I50" s="8" t="s">
        <v>47</v>
      </c>
      <c r="J50" s="8" t="s">
        <v>911</v>
      </c>
      <c r="K50" s="8" t="s">
        <v>33</v>
      </c>
      <c r="L50" s="8" t="s">
        <v>214</v>
      </c>
      <c r="M50" s="15" t="str">
        <f>HYPERLINK("http://slimages.macys.com/is/image/MCY/10972584 ")</f>
        <v xml:space="preserve">http://slimages.macys.com/is/image/MCY/10972584 </v>
      </c>
      <c r="N50" s="13"/>
    </row>
    <row r="51" spans="1:14" ht="48" x14ac:dyDescent="0.25">
      <c r="A51" s="14" t="s">
        <v>98</v>
      </c>
      <c r="B51" s="8" t="s">
        <v>99</v>
      </c>
      <c r="C51" s="9">
        <v>1</v>
      </c>
      <c r="D51" s="10">
        <v>189.99</v>
      </c>
      <c r="E51" s="9">
        <v>214113</v>
      </c>
      <c r="F51" s="8" t="s">
        <v>30</v>
      </c>
      <c r="G51" s="14" t="s">
        <v>100</v>
      </c>
      <c r="H51" s="10">
        <v>37.949264705882349</v>
      </c>
      <c r="I51" s="8" t="s">
        <v>101</v>
      </c>
      <c r="J51" s="8" t="s">
        <v>102</v>
      </c>
      <c r="K51" s="8" t="s">
        <v>91</v>
      </c>
      <c r="L51" s="8" t="s">
        <v>103</v>
      </c>
      <c r="M51" s="15" t="str">
        <f>HYPERLINK("http://slimages.macys.com/is/image/MCY/1760637 ")</f>
        <v xml:space="preserve">http://slimages.macys.com/is/image/MCY/1760637 </v>
      </c>
      <c r="N51" s="13"/>
    </row>
    <row r="52" spans="1:14" ht="36" x14ac:dyDescent="0.25">
      <c r="A52" s="14" t="s">
        <v>879</v>
      </c>
      <c r="B52" s="8" t="s">
        <v>880</v>
      </c>
      <c r="C52" s="9">
        <v>1</v>
      </c>
      <c r="D52" s="10">
        <v>119.99</v>
      </c>
      <c r="E52" s="9">
        <v>122529</v>
      </c>
      <c r="F52" s="8" t="s">
        <v>118</v>
      </c>
      <c r="G52" s="14" t="s">
        <v>60</v>
      </c>
      <c r="H52" s="10">
        <v>11.029411764705882</v>
      </c>
      <c r="I52" s="8" t="s">
        <v>89</v>
      </c>
      <c r="J52" s="8" t="s">
        <v>102</v>
      </c>
      <c r="K52" s="8" t="s">
        <v>33</v>
      </c>
      <c r="L52" s="8" t="s">
        <v>56</v>
      </c>
      <c r="M52" s="15" t="str">
        <f>HYPERLINK("http://slimages.macys.com/is/image/MCY/13287077 ")</f>
        <v xml:space="preserve">http://slimages.macys.com/is/image/MCY/13287077 </v>
      </c>
      <c r="N52" s="13"/>
    </row>
    <row r="53" spans="1:14" ht="36" x14ac:dyDescent="0.25">
      <c r="A53" s="14" t="s">
        <v>736</v>
      </c>
      <c r="B53" s="8" t="s">
        <v>737</v>
      </c>
      <c r="C53" s="9">
        <v>1</v>
      </c>
      <c r="D53" s="10">
        <v>45.54</v>
      </c>
      <c r="E53" s="9" t="s">
        <v>738</v>
      </c>
      <c r="F53" s="8" t="s">
        <v>38</v>
      </c>
      <c r="G53" s="14"/>
      <c r="H53" s="10">
        <v>12.555882352941175</v>
      </c>
      <c r="I53" s="8" t="s">
        <v>31</v>
      </c>
      <c r="J53" s="8" t="s">
        <v>494</v>
      </c>
      <c r="K53" s="8"/>
      <c r="L53" s="8"/>
      <c r="M53" s="15" t="str">
        <f>HYPERLINK("http://slimages.macys.com/is/image/MCY/17574058 ")</f>
        <v xml:space="preserve">http://slimages.macys.com/is/image/MCY/17574058 </v>
      </c>
      <c r="N53" s="13"/>
    </row>
    <row r="54" spans="1:14" ht="48" x14ac:dyDescent="0.25">
      <c r="A54" s="14" t="s">
        <v>87</v>
      </c>
      <c r="B54" s="8" t="s">
        <v>88</v>
      </c>
      <c r="C54" s="9">
        <v>1</v>
      </c>
      <c r="D54" s="10">
        <v>249.99</v>
      </c>
      <c r="E54" s="9">
        <v>67083</v>
      </c>
      <c r="F54" s="8" t="s">
        <v>30</v>
      </c>
      <c r="G54" s="14"/>
      <c r="H54" s="10">
        <v>39.079411764705881</v>
      </c>
      <c r="I54" s="8" t="s">
        <v>89</v>
      </c>
      <c r="J54" s="8" t="s">
        <v>90</v>
      </c>
      <c r="K54" s="8" t="s">
        <v>91</v>
      </c>
      <c r="L54" s="8" t="s">
        <v>92</v>
      </c>
      <c r="M54" s="15" t="str">
        <f>HYPERLINK("http://slimages.macys.com/is/image/MCY/2831823 ")</f>
        <v xml:space="preserve">http://slimages.macys.com/is/image/MCY/2831823 </v>
      </c>
      <c r="N54" s="13"/>
    </row>
    <row r="55" spans="1:14" ht="36" x14ac:dyDescent="0.25">
      <c r="A55" s="14" t="s">
        <v>1078</v>
      </c>
      <c r="B55" s="8" t="s">
        <v>1079</v>
      </c>
      <c r="C55" s="9">
        <v>1</v>
      </c>
      <c r="D55" s="10">
        <v>49.99</v>
      </c>
      <c r="E55" s="9" t="s">
        <v>1080</v>
      </c>
      <c r="F55" s="8" t="s">
        <v>123</v>
      </c>
      <c r="G55" s="14" t="s">
        <v>46</v>
      </c>
      <c r="H55" s="10">
        <v>8.7757352941176467</v>
      </c>
      <c r="I55" s="8" t="s">
        <v>47</v>
      </c>
      <c r="J55" s="8" t="s">
        <v>1081</v>
      </c>
      <c r="K55" s="8" t="s">
        <v>592</v>
      </c>
      <c r="L55" s="8" t="s">
        <v>1082</v>
      </c>
      <c r="M55" s="15" t="str">
        <f>HYPERLINK("http://slimages.macys.com/is/image/MCY/13466094 ")</f>
        <v xml:space="preserve">http://slimages.macys.com/is/image/MCY/13466094 </v>
      </c>
      <c r="N55" s="13"/>
    </row>
    <row r="56" spans="1:14" ht="36" x14ac:dyDescent="0.25">
      <c r="A56" s="14" t="s">
        <v>712</v>
      </c>
      <c r="B56" s="8" t="s">
        <v>713</v>
      </c>
      <c r="C56" s="9">
        <v>1</v>
      </c>
      <c r="D56" s="10">
        <v>72.989999999999995</v>
      </c>
      <c r="E56" s="9" t="s">
        <v>714</v>
      </c>
      <c r="F56" s="8" t="s">
        <v>72</v>
      </c>
      <c r="G56" s="14"/>
      <c r="H56" s="10">
        <v>12.794117647058821</v>
      </c>
      <c r="I56" s="8" t="s">
        <v>31</v>
      </c>
      <c r="J56" s="8" t="s">
        <v>715</v>
      </c>
      <c r="K56" s="8" t="s">
        <v>33</v>
      </c>
      <c r="L56" s="8" t="s">
        <v>200</v>
      </c>
      <c r="M56" s="15" t="str">
        <f>HYPERLINK("http://slimages.macys.com/is/image/MCY/9966677 ")</f>
        <v xml:space="preserve">http://slimages.macys.com/is/image/MCY/9966677 </v>
      </c>
      <c r="N56" s="13"/>
    </row>
    <row r="57" spans="1:14" ht="36" x14ac:dyDescent="0.25">
      <c r="A57" s="14" t="s">
        <v>809</v>
      </c>
      <c r="B57" s="8" t="s">
        <v>810</v>
      </c>
      <c r="C57" s="9">
        <v>1</v>
      </c>
      <c r="D57" s="10">
        <v>59.99</v>
      </c>
      <c r="E57" s="9" t="s">
        <v>811</v>
      </c>
      <c r="F57" s="8" t="s">
        <v>458</v>
      </c>
      <c r="G57" s="14"/>
      <c r="H57" s="10">
        <v>11.691176470588236</v>
      </c>
      <c r="I57" s="8" t="s">
        <v>31</v>
      </c>
      <c r="J57" s="8" t="s">
        <v>715</v>
      </c>
      <c r="K57" s="8" t="s">
        <v>33</v>
      </c>
      <c r="L57" s="8" t="s">
        <v>214</v>
      </c>
      <c r="M57" s="15" t="str">
        <f>HYPERLINK("http://slimages.macys.com/is/image/MCY/14540048 ")</f>
        <v xml:space="preserve">http://slimages.macys.com/is/image/MCY/14540048 </v>
      </c>
      <c r="N57" s="13"/>
    </row>
    <row r="58" spans="1:14" ht="48" x14ac:dyDescent="0.25">
      <c r="A58" s="14" t="s">
        <v>1622</v>
      </c>
      <c r="B58" s="8" t="s">
        <v>1623</v>
      </c>
      <c r="C58" s="9">
        <v>3</v>
      </c>
      <c r="D58" s="10">
        <v>39.99</v>
      </c>
      <c r="E58" s="9" t="s">
        <v>1624</v>
      </c>
      <c r="F58" s="8" t="s">
        <v>1069</v>
      </c>
      <c r="G58" s="14"/>
      <c r="H58" s="10">
        <v>4.2970588235294116</v>
      </c>
      <c r="I58" s="8" t="s">
        <v>503</v>
      </c>
      <c r="J58" s="8" t="s">
        <v>1510</v>
      </c>
      <c r="K58" s="8" t="s">
        <v>33</v>
      </c>
      <c r="L58" s="8"/>
      <c r="M58" s="15" t="str">
        <f>HYPERLINK("http://slimages.macys.com/is/image/MCY/12060699 ")</f>
        <v xml:space="preserve">http://slimages.macys.com/is/image/MCY/12060699 </v>
      </c>
      <c r="N58" s="13"/>
    </row>
    <row r="59" spans="1:14" ht="36" x14ac:dyDescent="0.25">
      <c r="A59" s="14" t="s">
        <v>1867</v>
      </c>
      <c r="B59" s="8" t="s">
        <v>1868</v>
      </c>
      <c r="C59" s="9">
        <v>1</v>
      </c>
      <c r="D59" s="10">
        <v>7.99</v>
      </c>
      <c r="E59" s="9">
        <v>1005083000</v>
      </c>
      <c r="F59" s="8" t="s">
        <v>269</v>
      </c>
      <c r="G59" s="14" t="s">
        <v>1839</v>
      </c>
      <c r="H59" s="10">
        <v>0.69647058823529406</v>
      </c>
      <c r="I59" s="8" t="s">
        <v>1385</v>
      </c>
      <c r="J59" s="8" t="s">
        <v>975</v>
      </c>
      <c r="K59" s="8" t="s">
        <v>33</v>
      </c>
      <c r="L59" s="8" t="s">
        <v>1511</v>
      </c>
      <c r="M59" s="15" t="str">
        <f>HYPERLINK("http://slimages.macys.com/is/image/MCY/11709733 ")</f>
        <v xml:space="preserve">http://slimages.macys.com/is/image/MCY/11709733 </v>
      </c>
      <c r="N59" s="13"/>
    </row>
    <row r="60" spans="1:14" ht="48" x14ac:dyDescent="0.25">
      <c r="A60" s="14" t="s">
        <v>1142</v>
      </c>
      <c r="B60" s="8" t="s">
        <v>1143</v>
      </c>
      <c r="C60" s="9">
        <v>1</v>
      </c>
      <c r="D60" s="10">
        <v>69.989999999999995</v>
      </c>
      <c r="E60" s="9" t="s">
        <v>1144</v>
      </c>
      <c r="F60" s="8" t="s">
        <v>123</v>
      </c>
      <c r="G60" s="14"/>
      <c r="H60" s="10">
        <v>8.1882352941176464</v>
      </c>
      <c r="I60" s="8" t="s">
        <v>503</v>
      </c>
      <c r="J60" s="8" t="s">
        <v>1145</v>
      </c>
      <c r="K60" s="8"/>
      <c r="L60" s="8"/>
      <c r="M60" s="15" t="str">
        <f>HYPERLINK("http://slimages.macys.com/is/image/MCY/17912694 ")</f>
        <v xml:space="preserve">http://slimages.macys.com/is/image/MCY/17912694 </v>
      </c>
      <c r="N60" s="13"/>
    </row>
    <row r="61" spans="1:14" ht="48" x14ac:dyDescent="0.25">
      <c r="A61" s="14" t="s">
        <v>1776</v>
      </c>
      <c r="B61" s="8" t="s">
        <v>1777</v>
      </c>
      <c r="C61" s="9">
        <v>1</v>
      </c>
      <c r="D61" s="10">
        <v>19.989999999999998</v>
      </c>
      <c r="E61" s="9">
        <v>100074841</v>
      </c>
      <c r="F61" s="8" t="s">
        <v>1069</v>
      </c>
      <c r="G61" s="14"/>
      <c r="H61" s="10">
        <v>3</v>
      </c>
      <c r="I61" s="8" t="s">
        <v>1778</v>
      </c>
      <c r="J61" s="8" t="s">
        <v>1779</v>
      </c>
      <c r="K61" s="8"/>
      <c r="L61" s="8"/>
      <c r="M61" s="15" t="str">
        <f>HYPERLINK("http://slimages.macys.com/is/image/MCY/17902260 ")</f>
        <v xml:space="preserve">http://slimages.macys.com/is/image/MCY/17902260 </v>
      </c>
      <c r="N61" s="13"/>
    </row>
    <row r="62" spans="1:14" ht="36" x14ac:dyDescent="0.25">
      <c r="A62" s="14" t="s">
        <v>1812</v>
      </c>
      <c r="B62" s="8" t="s">
        <v>1813</v>
      </c>
      <c r="C62" s="9">
        <v>1</v>
      </c>
      <c r="D62" s="10">
        <v>39.99</v>
      </c>
      <c r="E62" s="9" t="s">
        <v>1814</v>
      </c>
      <c r="F62" s="8" t="s">
        <v>1163</v>
      </c>
      <c r="G62" s="14"/>
      <c r="H62" s="10">
        <v>2.6911764705882351</v>
      </c>
      <c r="I62" s="8" t="s">
        <v>503</v>
      </c>
      <c r="J62" s="8" t="s">
        <v>504</v>
      </c>
      <c r="K62" s="8" t="s">
        <v>33</v>
      </c>
      <c r="L62" s="8"/>
      <c r="M62" s="15" t="str">
        <f>HYPERLINK("http://slimages.macys.com/is/image/MCY/14370538 ")</f>
        <v xml:space="preserve">http://slimages.macys.com/is/image/MCY/14370538 </v>
      </c>
      <c r="N62" s="13"/>
    </row>
    <row r="63" spans="1:14" ht="36" x14ac:dyDescent="0.25">
      <c r="A63" s="14" t="s">
        <v>1812</v>
      </c>
      <c r="B63" s="8" t="s">
        <v>1813</v>
      </c>
      <c r="C63" s="9">
        <v>1</v>
      </c>
      <c r="D63" s="10">
        <v>39.99</v>
      </c>
      <c r="E63" s="9" t="s">
        <v>1814</v>
      </c>
      <c r="F63" s="8" t="s">
        <v>1163</v>
      </c>
      <c r="G63" s="14"/>
      <c r="H63" s="10">
        <v>2.6911764705882351</v>
      </c>
      <c r="I63" s="8" t="s">
        <v>503</v>
      </c>
      <c r="J63" s="8" t="s">
        <v>504</v>
      </c>
      <c r="K63" s="8" t="s">
        <v>33</v>
      </c>
      <c r="L63" s="8"/>
      <c r="M63" s="15" t="str">
        <f>HYPERLINK("http://slimages.macys.com/is/image/MCY/14370538 ")</f>
        <v xml:space="preserve">http://slimages.macys.com/is/image/MCY/14370538 </v>
      </c>
      <c r="N63" s="13"/>
    </row>
    <row r="64" spans="1:14" ht="36" x14ac:dyDescent="0.25">
      <c r="A64" s="14" t="s">
        <v>574</v>
      </c>
      <c r="B64" s="8" t="s">
        <v>575</v>
      </c>
      <c r="C64" s="9">
        <v>1</v>
      </c>
      <c r="D64" s="10">
        <v>109.99</v>
      </c>
      <c r="E64" s="9" t="s">
        <v>576</v>
      </c>
      <c r="F64" s="8" t="s">
        <v>469</v>
      </c>
      <c r="G64" s="14"/>
      <c r="H64" s="10">
        <v>16.566176470588236</v>
      </c>
      <c r="I64" s="8" t="s">
        <v>503</v>
      </c>
      <c r="J64" s="8" t="s">
        <v>504</v>
      </c>
      <c r="K64" s="8" t="s">
        <v>33</v>
      </c>
      <c r="L64" s="8" t="s">
        <v>577</v>
      </c>
      <c r="M64" s="15" t="str">
        <f>HYPERLINK("http://slimages.macys.com/is/image/MCY/14907061 ")</f>
        <v xml:space="preserve">http://slimages.macys.com/is/image/MCY/14907061 </v>
      </c>
      <c r="N64" s="13"/>
    </row>
    <row r="65" spans="1:14" ht="36" x14ac:dyDescent="0.25">
      <c r="A65" s="14" t="s">
        <v>1735</v>
      </c>
      <c r="B65" s="8" t="s">
        <v>1736</v>
      </c>
      <c r="C65" s="9">
        <v>3</v>
      </c>
      <c r="D65" s="10">
        <v>39.99</v>
      </c>
      <c r="E65" s="9" t="s">
        <v>1737</v>
      </c>
      <c r="F65" s="8" t="s">
        <v>469</v>
      </c>
      <c r="G65" s="14"/>
      <c r="H65" s="10">
        <v>3.3264705882352938</v>
      </c>
      <c r="I65" s="8" t="s">
        <v>503</v>
      </c>
      <c r="J65" s="8" t="s">
        <v>504</v>
      </c>
      <c r="K65" s="8" t="s">
        <v>33</v>
      </c>
      <c r="L65" s="8" t="s">
        <v>586</v>
      </c>
      <c r="M65" s="15" t="str">
        <f>HYPERLINK("http://slimages.macys.com/is/image/MCY/14907061 ")</f>
        <v xml:space="preserve">http://slimages.macys.com/is/image/MCY/14907061 </v>
      </c>
      <c r="N65" s="13"/>
    </row>
    <row r="66" spans="1:14" ht="36" x14ac:dyDescent="0.25">
      <c r="A66" s="14" t="s">
        <v>1735</v>
      </c>
      <c r="B66" s="8" t="s">
        <v>1736</v>
      </c>
      <c r="C66" s="9">
        <v>6</v>
      </c>
      <c r="D66" s="10">
        <v>39.99</v>
      </c>
      <c r="E66" s="9" t="s">
        <v>1737</v>
      </c>
      <c r="F66" s="8" t="s">
        <v>469</v>
      </c>
      <c r="G66" s="14"/>
      <c r="H66" s="10">
        <v>3.3264705882352938</v>
      </c>
      <c r="I66" s="8" t="s">
        <v>503</v>
      </c>
      <c r="J66" s="8" t="s">
        <v>504</v>
      </c>
      <c r="K66" s="8" t="s">
        <v>33</v>
      </c>
      <c r="L66" s="8" t="s">
        <v>586</v>
      </c>
      <c r="M66" s="15" t="str">
        <f>HYPERLINK("http://slimages.macys.com/is/image/MCY/14907061 ")</f>
        <v xml:space="preserve">http://slimages.macys.com/is/image/MCY/14907061 </v>
      </c>
      <c r="N66" s="13"/>
    </row>
    <row r="67" spans="1:14" ht="36" x14ac:dyDescent="0.25">
      <c r="A67" s="14" t="s">
        <v>1650</v>
      </c>
      <c r="B67" s="8" t="s">
        <v>1651</v>
      </c>
      <c r="C67" s="9">
        <v>1</v>
      </c>
      <c r="D67" s="10">
        <v>29.99</v>
      </c>
      <c r="E67" s="9">
        <v>10006673500</v>
      </c>
      <c r="F67" s="8" t="s">
        <v>426</v>
      </c>
      <c r="G67" s="14"/>
      <c r="H67" s="10">
        <v>4.0632352941176464</v>
      </c>
      <c r="I67" s="8" t="s">
        <v>773</v>
      </c>
      <c r="J67" s="8" t="s">
        <v>975</v>
      </c>
      <c r="K67" s="8" t="s">
        <v>33</v>
      </c>
      <c r="L67" s="8"/>
      <c r="M67" s="15" t="str">
        <f>HYPERLINK("http://slimages.macys.com/is/image/MCY/12873904 ")</f>
        <v xml:space="preserve">http://slimages.macys.com/is/image/MCY/12873904 </v>
      </c>
      <c r="N67" s="13"/>
    </row>
    <row r="68" spans="1:14" ht="36" x14ac:dyDescent="0.25">
      <c r="A68" s="14" t="s">
        <v>1088</v>
      </c>
      <c r="B68" s="8" t="s">
        <v>1089</v>
      </c>
      <c r="C68" s="9">
        <v>1</v>
      </c>
      <c r="D68" s="10">
        <v>79.989999999999995</v>
      </c>
      <c r="E68" s="9" t="s">
        <v>1090</v>
      </c>
      <c r="F68" s="8" t="s">
        <v>38</v>
      </c>
      <c r="G68" s="14"/>
      <c r="H68" s="10">
        <v>8.6911764705882355</v>
      </c>
      <c r="I68" s="8" t="s">
        <v>773</v>
      </c>
      <c r="J68" s="8" t="s">
        <v>975</v>
      </c>
      <c r="K68" s="8" t="s">
        <v>33</v>
      </c>
      <c r="L68" s="8" t="s">
        <v>976</v>
      </c>
      <c r="M68" s="15" t="str">
        <f>HYPERLINK("http://slimages.macys.com/is/image/MCY/11640170 ")</f>
        <v xml:space="preserve">http://slimages.macys.com/is/image/MCY/11640170 </v>
      </c>
      <c r="N68" s="13"/>
    </row>
    <row r="69" spans="1:14" ht="48" x14ac:dyDescent="0.25">
      <c r="A69" s="14" t="s">
        <v>1215</v>
      </c>
      <c r="B69" s="8" t="s">
        <v>1216</v>
      </c>
      <c r="C69" s="9">
        <v>2</v>
      </c>
      <c r="D69" s="10">
        <v>59.99</v>
      </c>
      <c r="E69" s="9">
        <v>10004897500</v>
      </c>
      <c r="F69" s="8" t="s">
        <v>148</v>
      </c>
      <c r="G69" s="14"/>
      <c r="H69" s="10">
        <v>7.5661764705882337</v>
      </c>
      <c r="I69" s="8" t="s">
        <v>773</v>
      </c>
      <c r="J69" s="8" t="s">
        <v>1217</v>
      </c>
      <c r="K69" s="8" t="s">
        <v>33</v>
      </c>
      <c r="L69" s="8"/>
      <c r="M69" s="15" t="str">
        <f>HYPERLINK("http://slimages.macys.com/is/image/MCY/14823286 ")</f>
        <v xml:space="preserve">http://slimages.macys.com/is/image/MCY/14823286 </v>
      </c>
      <c r="N69" s="13"/>
    </row>
    <row r="70" spans="1:14" ht="48" x14ac:dyDescent="0.25">
      <c r="A70" s="14" t="s">
        <v>769</v>
      </c>
      <c r="B70" s="8" t="s">
        <v>770</v>
      </c>
      <c r="C70" s="9">
        <v>2</v>
      </c>
      <c r="D70" s="10">
        <v>99.99</v>
      </c>
      <c r="E70" s="9" t="s">
        <v>771</v>
      </c>
      <c r="F70" s="8" t="s">
        <v>238</v>
      </c>
      <c r="G70" s="14" t="s">
        <v>772</v>
      </c>
      <c r="H70" s="10">
        <v>11.933823529411764</v>
      </c>
      <c r="I70" s="8" t="s">
        <v>773</v>
      </c>
      <c r="J70" s="8" t="s">
        <v>774</v>
      </c>
      <c r="K70" s="8" t="s">
        <v>33</v>
      </c>
      <c r="L70" s="8" t="s">
        <v>775</v>
      </c>
      <c r="M70" s="15" t="str">
        <f>HYPERLINK("http://slimages.macys.com/is/image/MCY/14731378 ")</f>
        <v xml:space="preserve">http://slimages.macys.com/is/image/MCY/14731378 </v>
      </c>
      <c r="N70" s="13"/>
    </row>
    <row r="71" spans="1:14" ht="36" x14ac:dyDescent="0.25">
      <c r="A71" s="14" t="s">
        <v>1702</v>
      </c>
      <c r="B71" s="8" t="s">
        <v>1703</v>
      </c>
      <c r="C71" s="9">
        <v>1</v>
      </c>
      <c r="D71" s="10">
        <v>39.99</v>
      </c>
      <c r="E71" s="9" t="s">
        <v>1704</v>
      </c>
      <c r="F71" s="8" t="s">
        <v>118</v>
      </c>
      <c r="G71" s="14"/>
      <c r="H71" s="10">
        <v>3.6088235294117648</v>
      </c>
      <c r="I71" s="8" t="s">
        <v>773</v>
      </c>
      <c r="J71" s="8" t="s">
        <v>975</v>
      </c>
      <c r="K71" s="8" t="s">
        <v>33</v>
      </c>
      <c r="L71" s="8"/>
      <c r="M71" s="15" t="str">
        <f>HYPERLINK("http://slimages.macys.com/is/image/MCY/11283406 ")</f>
        <v xml:space="preserve">http://slimages.macys.com/is/image/MCY/11283406 </v>
      </c>
      <c r="N71" s="13"/>
    </row>
    <row r="72" spans="1:14" ht="36" x14ac:dyDescent="0.25">
      <c r="A72" s="14" t="s">
        <v>972</v>
      </c>
      <c r="B72" s="8" t="s">
        <v>973</v>
      </c>
      <c r="C72" s="9">
        <v>1</v>
      </c>
      <c r="D72" s="10">
        <v>79.989999999999995</v>
      </c>
      <c r="E72" s="9" t="s">
        <v>974</v>
      </c>
      <c r="F72" s="8" t="s">
        <v>118</v>
      </c>
      <c r="G72" s="14"/>
      <c r="H72" s="10">
        <v>9.6397058823529402</v>
      </c>
      <c r="I72" s="8" t="s">
        <v>773</v>
      </c>
      <c r="J72" s="8" t="s">
        <v>975</v>
      </c>
      <c r="K72" s="8" t="s">
        <v>33</v>
      </c>
      <c r="L72" s="8" t="s">
        <v>976</v>
      </c>
      <c r="M72" s="15" t="str">
        <f>HYPERLINK("http://slimages.macys.com/is/image/MCY/11283405 ")</f>
        <v xml:space="preserve">http://slimages.macys.com/is/image/MCY/11283405 </v>
      </c>
      <c r="N72" s="13"/>
    </row>
    <row r="73" spans="1:14" ht="48" x14ac:dyDescent="0.25">
      <c r="A73" s="14" t="s">
        <v>1507</v>
      </c>
      <c r="B73" s="8" t="s">
        <v>1508</v>
      </c>
      <c r="C73" s="9">
        <v>1</v>
      </c>
      <c r="D73" s="10">
        <v>49.99</v>
      </c>
      <c r="E73" s="9" t="s">
        <v>1509</v>
      </c>
      <c r="F73" s="8" t="s">
        <v>38</v>
      </c>
      <c r="G73" s="14"/>
      <c r="H73" s="10">
        <v>5.1397058823529411</v>
      </c>
      <c r="I73" s="8" t="s">
        <v>773</v>
      </c>
      <c r="J73" s="8" t="s">
        <v>1510</v>
      </c>
      <c r="K73" s="8" t="s">
        <v>33</v>
      </c>
      <c r="L73" s="8" t="s">
        <v>1511</v>
      </c>
      <c r="M73" s="15" t="str">
        <f>HYPERLINK("http://slimages.macys.com/is/image/MCY/14731627 ")</f>
        <v xml:space="preserve">http://slimages.macys.com/is/image/MCY/14731627 </v>
      </c>
      <c r="N73" s="13"/>
    </row>
    <row r="74" spans="1:14" ht="36" x14ac:dyDescent="0.25">
      <c r="A74" s="14" t="s">
        <v>1299</v>
      </c>
      <c r="B74" s="8" t="s">
        <v>1300</v>
      </c>
      <c r="C74" s="9">
        <v>1</v>
      </c>
      <c r="D74" s="10">
        <v>59.99</v>
      </c>
      <c r="E74" s="9" t="s">
        <v>1301</v>
      </c>
      <c r="F74" s="8" t="s">
        <v>85</v>
      </c>
      <c r="G74" s="14"/>
      <c r="H74" s="10">
        <v>6.8470588235294105</v>
      </c>
      <c r="I74" s="8" t="s">
        <v>503</v>
      </c>
      <c r="J74" s="8" t="s">
        <v>504</v>
      </c>
      <c r="K74" s="8" t="s">
        <v>33</v>
      </c>
      <c r="L74" s="8" t="s">
        <v>214</v>
      </c>
      <c r="M74" s="15" t="str">
        <f>HYPERLINK("http://slimages.macys.com/is/image/MCY/8432521 ")</f>
        <v xml:space="preserve">http://slimages.macys.com/is/image/MCY/8432521 </v>
      </c>
      <c r="N74" s="13"/>
    </row>
    <row r="75" spans="1:14" ht="36" x14ac:dyDescent="0.25">
      <c r="A75" s="14" t="s">
        <v>1463</v>
      </c>
      <c r="B75" s="8" t="s">
        <v>1464</v>
      </c>
      <c r="C75" s="9">
        <v>2</v>
      </c>
      <c r="D75" s="10">
        <v>39.99</v>
      </c>
      <c r="E75" s="9" t="s">
        <v>1465</v>
      </c>
      <c r="F75" s="8" t="s">
        <v>795</v>
      </c>
      <c r="G75" s="14"/>
      <c r="H75" s="10">
        <v>5.7176470588235286</v>
      </c>
      <c r="I75" s="8" t="s">
        <v>503</v>
      </c>
      <c r="J75" s="8" t="s">
        <v>504</v>
      </c>
      <c r="K75" s="8" t="s">
        <v>33</v>
      </c>
      <c r="L75" s="8"/>
      <c r="M75" s="15" t="str">
        <f>HYPERLINK("http://slimages.macys.com/is/image/MCY/8432521 ")</f>
        <v xml:space="preserve">http://slimages.macys.com/is/image/MCY/8432521 </v>
      </c>
      <c r="N75" s="13"/>
    </row>
    <row r="76" spans="1:14" ht="36" x14ac:dyDescent="0.25">
      <c r="A76" s="14" t="s">
        <v>499</v>
      </c>
      <c r="B76" s="8" t="s">
        <v>500</v>
      </c>
      <c r="C76" s="9">
        <v>1</v>
      </c>
      <c r="D76" s="10">
        <v>119.99</v>
      </c>
      <c r="E76" s="9" t="s">
        <v>501</v>
      </c>
      <c r="F76" s="8" t="s">
        <v>502</v>
      </c>
      <c r="G76" s="14"/>
      <c r="H76" s="10">
        <v>17.797058823529412</v>
      </c>
      <c r="I76" s="8" t="s">
        <v>503</v>
      </c>
      <c r="J76" s="8" t="s">
        <v>504</v>
      </c>
      <c r="K76" s="8" t="s">
        <v>33</v>
      </c>
      <c r="L76" s="8" t="s">
        <v>505</v>
      </c>
      <c r="M76" s="15" t="str">
        <f>HYPERLINK("http://slimages.macys.com/is/image/MCY/11607139 ")</f>
        <v xml:space="preserve">http://slimages.macys.com/is/image/MCY/11607139 </v>
      </c>
      <c r="N76" s="13"/>
    </row>
    <row r="77" spans="1:14" ht="36" x14ac:dyDescent="0.25">
      <c r="A77" s="14" t="s">
        <v>1540</v>
      </c>
      <c r="B77" s="8" t="s">
        <v>1541</v>
      </c>
      <c r="C77" s="9">
        <v>1</v>
      </c>
      <c r="D77" s="10">
        <v>29.99</v>
      </c>
      <c r="E77" s="9" t="s">
        <v>1542</v>
      </c>
      <c r="F77" s="8" t="s">
        <v>795</v>
      </c>
      <c r="G77" s="14"/>
      <c r="H77" s="10">
        <v>4.9411764705882346</v>
      </c>
      <c r="I77" s="8" t="s">
        <v>503</v>
      </c>
      <c r="J77" s="8" t="s">
        <v>504</v>
      </c>
      <c r="K77" s="8" t="s">
        <v>33</v>
      </c>
      <c r="L77" s="8"/>
      <c r="M77" s="15" t="str">
        <f>HYPERLINK("http://slimages.macys.com/is/image/MCY/8432521 ")</f>
        <v xml:space="preserve">http://slimages.macys.com/is/image/MCY/8432521 </v>
      </c>
      <c r="N77" s="13"/>
    </row>
    <row r="78" spans="1:14" ht="36" x14ac:dyDescent="0.25">
      <c r="A78" s="14" t="s">
        <v>1869</v>
      </c>
      <c r="B78" s="8" t="s">
        <v>1870</v>
      </c>
      <c r="C78" s="9">
        <v>1</v>
      </c>
      <c r="D78" s="10">
        <v>6.99</v>
      </c>
      <c r="E78" s="9" t="s">
        <v>1871</v>
      </c>
      <c r="F78" s="8" t="s">
        <v>726</v>
      </c>
      <c r="G78" s="14" t="s">
        <v>1839</v>
      </c>
      <c r="H78" s="10">
        <v>0.69647058823529406</v>
      </c>
      <c r="I78" s="8" t="s">
        <v>1385</v>
      </c>
      <c r="J78" s="8" t="s">
        <v>975</v>
      </c>
      <c r="K78" s="8" t="s">
        <v>33</v>
      </c>
      <c r="L78" s="8" t="s">
        <v>56</v>
      </c>
      <c r="M78" s="15" t="str">
        <f>HYPERLINK("http://slimages.macys.com/is/image/MCY/12067359 ")</f>
        <v xml:space="preserve">http://slimages.macys.com/is/image/MCY/12067359 </v>
      </c>
      <c r="N78" s="13"/>
    </row>
    <row r="79" spans="1:14" ht="48" x14ac:dyDescent="0.25">
      <c r="A79" s="14" t="s">
        <v>1577</v>
      </c>
      <c r="B79" s="8" t="s">
        <v>1578</v>
      </c>
      <c r="C79" s="9">
        <v>1</v>
      </c>
      <c r="D79" s="10">
        <v>39.99</v>
      </c>
      <c r="E79" s="9" t="s">
        <v>1579</v>
      </c>
      <c r="F79" s="8" t="s">
        <v>313</v>
      </c>
      <c r="G79" s="14"/>
      <c r="H79" s="10">
        <v>4.6941176470588237</v>
      </c>
      <c r="I79" s="8" t="s">
        <v>503</v>
      </c>
      <c r="J79" s="8" t="s">
        <v>1580</v>
      </c>
      <c r="K79" s="8" t="s">
        <v>33</v>
      </c>
      <c r="L79" s="8"/>
      <c r="M79" s="15" t="str">
        <f>HYPERLINK("http://slimages.macys.com/is/image/MCY/10015969 ")</f>
        <v xml:space="preserve">http://slimages.macys.com/is/image/MCY/10015969 </v>
      </c>
      <c r="N79" s="13"/>
    </row>
    <row r="80" spans="1:14" ht="48" x14ac:dyDescent="0.25">
      <c r="A80" s="14" t="s">
        <v>657</v>
      </c>
      <c r="B80" s="8" t="s">
        <v>658</v>
      </c>
      <c r="C80" s="9">
        <v>1</v>
      </c>
      <c r="D80" s="10">
        <v>64.989999999999995</v>
      </c>
      <c r="E80" s="9" t="s">
        <v>659</v>
      </c>
      <c r="F80" s="8" t="s">
        <v>30</v>
      </c>
      <c r="G80" s="14"/>
      <c r="H80" s="10">
        <v>13.382352941176469</v>
      </c>
      <c r="I80" s="8" t="s">
        <v>101</v>
      </c>
      <c r="J80" s="8" t="s">
        <v>660</v>
      </c>
      <c r="K80" s="8" t="s">
        <v>33</v>
      </c>
      <c r="L80" s="8" t="s">
        <v>661</v>
      </c>
      <c r="M80" s="15" t="str">
        <f>HYPERLINK("http://slimages.macys.com/is/image/MCY/13767712 ")</f>
        <v xml:space="preserve">http://slimages.macys.com/is/image/MCY/13767712 </v>
      </c>
      <c r="N80" s="13"/>
    </row>
    <row r="81" spans="1:14" ht="36" x14ac:dyDescent="0.25">
      <c r="A81" s="14" t="s">
        <v>1713</v>
      </c>
      <c r="B81" s="8" t="s">
        <v>1714</v>
      </c>
      <c r="C81" s="9">
        <v>4</v>
      </c>
      <c r="D81" s="10">
        <v>14.99</v>
      </c>
      <c r="E81" s="9" t="s">
        <v>1715</v>
      </c>
      <c r="F81" s="8" t="s">
        <v>45</v>
      </c>
      <c r="G81" s="14" t="s">
        <v>1461</v>
      </c>
      <c r="H81" s="10">
        <v>3.3919117647058825</v>
      </c>
      <c r="I81" s="8" t="s">
        <v>47</v>
      </c>
      <c r="J81" s="8" t="s">
        <v>137</v>
      </c>
      <c r="K81" s="8" t="s">
        <v>33</v>
      </c>
      <c r="L81" s="8" t="s">
        <v>214</v>
      </c>
      <c r="M81" s="15" t="str">
        <f>HYPERLINK("http://slimages.macys.com/is/image/MCY/343290 ")</f>
        <v xml:space="preserve">http://slimages.macys.com/is/image/MCY/343290 </v>
      </c>
      <c r="N81" s="13"/>
    </row>
    <row r="82" spans="1:14" ht="36" x14ac:dyDescent="0.25">
      <c r="A82" s="14" t="s">
        <v>1474</v>
      </c>
      <c r="B82" s="8" t="s">
        <v>1475</v>
      </c>
      <c r="C82" s="9">
        <v>2</v>
      </c>
      <c r="D82" s="10">
        <v>14.99</v>
      </c>
      <c r="E82" s="9" t="s">
        <v>1476</v>
      </c>
      <c r="F82" s="8" t="s">
        <v>45</v>
      </c>
      <c r="G82" s="14" t="s">
        <v>1477</v>
      </c>
      <c r="H82" s="10">
        <v>5.610294117647058</v>
      </c>
      <c r="I82" s="8" t="s">
        <v>47</v>
      </c>
      <c r="J82" s="8" t="s">
        <v>137</v>
      </c>
      <c r="K82" s="8" t="s">
        <v>33</v>
      </c>
      <c r="L82" s="8" t="s">
        <v>214</v>
      </c>
      <c r="M82" s="15" t="str">
        <f>HYPERLINK("http://slimages.macys.com/is/image/MCY/343290 ")</f>
        <v xml:space="preserve">http://slimages.macys.com/is/image/MCY/343290 </v>
      </c>
      <c r="N82" s="13"/>
    </row>
    <row r="83" spans="1:14" ht="36" x14ac:dyDescent="0.25">
      <c r="A83" s="14" t="s">
        <v>1699</v>
      </c>
      <c r="B83" s="8" t="s">
        <v>1700</v>
      </c>
      <c r="C83" s="9">
        <v>2</v>
      </c>
      <c r="D83" s="10">
        <v>11.99</v>
      </c>
      <c r="E83" s="9" t="s">
        <v>1701</v>
      </c>
      <c r="F83" s="8"/>
      <c r="G83" s="14" t="s">
        <v>46</v>
      </c>
      <c r="H83" s="10">
        <v>3.6492647058823526</v>
      </c>
      <c r="I83" s="8" t="s">
        <v>47</v>
      </c>
      <c r="J83" s="8" t="s">
        <v>137</v>
      </c>
      <c r="K83" s="8" t="s">
        <v>33</v>
      </c>
      <c r="L83" s="8"/>
      <c r="M83" s="15" t="str">
        <f>HYPERLINK("http://slimages.macys.com/is/image/MCY/8609191 ")</f>
        <v xml:space="preserve">http://slimages.macys.com/is/image/MCY/8609191 </v>
      </c>
      <c r="N83" s="13"/>
    </row>
    <row r="84" spans="1:14" ht="36" x14ac:dyDescent="0.25">
      <c r="A84" s="14" t="s">
        <v>1588</v>
      </c>
      <c r="B84" s="8" t="s">
        <v>1589</v>
      </c>
      <c r="C84" s="9">
        <v>2</v>
      </c>
      <c r="D84" s="10">
        <v>24.99</v>
      </c>
      <c r="E84" s="9" t="s">
        <v>1590</v>
      </c>
      <c r="F84" s="8" t="s">
        <v>269</v>
      </c>
      <c r="G84" s="14" t="s">
        <v>1461</v>
      </c>
      <c r="H84" s="10">
        <v>4.5654411764705873</v>
      </c>
      <c r="I84" s="8" t="s">
        <v>47</v>
      </c>
      <c r="J84" s="8" t="s">
        <v>137</v>
      </c>
      <c r="K84" s="8" t="s">
        <v>33</v>
      </c>
      <c r="L84" s="8" t="s">
        <v>200</v>
      </c>
      <c r="M84" s="15" t="str">
        <f>HYPERLINK("http://slimages.macys.com/is/image/MCY/2025570 ")</f>
        <v xml:space="preserve">http://slimages.macys.com/is/image/MCY/2025570 </v>
      </c>
      <c r="N84" s="13"/>
    </row>
    <row r="85" spans="1:14" ht="36" x14ac:dyDescent="0.25">
      <c r="A85" s="14" t="s">
        <v>1726</v>
      </c>
      <c r="B85" s="8" t="s">
        <v>1727</v>
      </c>
      <c r="C85" s="9">
        <v>2</v>
      </c>
      <c r="D85" s="10">
        <v>13.99</v>
      </c>
      <c r="E85" s="9" t="s">
        <v>1728</v>
      </c>
      <c r="F85" s="8" t="s">
        <v>118</v>
      </c>
      <c r="G85" s="14"/>
      <c r="H85" s="10">
        <v>3.3661764705882353</v>
      </c>
      <c r="I85" s="8" t="s">
        <v>47</v>
      </c>
      <c r="J85" s="8" t="s">
        <v>137</v>
      </c>
      <c r="K85" s="8" t="s">
        <v>33</v>
      </c>
      <c r="L85" s="8"/>
      <c r="M85" s="15" t="str">
        <f>HYPERLINK("http://slimages.macys.com/is/image/MCY/8757225 ")</f>
        <v xml:space="preserve">http://slimages.macys.com/is/image/MCY/8757225 </v>
      </c>
      <c r="N85" s="13"/>
    </row>
    <row r="86" spans="1:14" ht="36" x14ac:dyDescent="0.25">
      <c r="A86" s="14" t="s">
        <v>1726</v>
      </c>
      <c r="B86" s="8" t="s">
        <v>1727</v>
      </c>
      <c r="C86" s="9">
        <v>1</v>
      </c>
      <c r="D86" s="10">
        <v>13.99</v>
      </c>
      <c r="E86" s="9" t="s">
        <v>1728</v>
      </c>
      <c r="F86" s="8" t="s">
        <v>118</v>
      </c>
      <c r="G86" s="14"/>
      <c r="H86" s="10">
        <v>3.3661764705882353</v>
      </c>
      <c r="I86" s="8" t="s">
        <v>47</v>
      </c>
      <c r="J86" s="8" t="s">
        <v>137</v>
      </c>
      <c r="K86" s="8" t="s">
        <v>33</v>
      </c>
      <c r="L86" s="8"/>
      <c r="M86" s="15" t="str">
        <f>HYPERLINK("http://slimages.macys.com/is/image/MCY/8757225 ")</f>
        <v xml:space="preserve">http://slimages.macys.com/is/image/MCY/8757225 </v>
      </c>
      <c r="N86" s="13"/>
    </row>
    <row r="87" spans="1:14" ht="36" x14ac:dyDescent="0.25">
      <c r="A87" s="14" t="s">
        <v>1726</v>
      </c>
      <c r="B87" s="8" t="s">
        <v>1727</v>
      </c>
      <c r="C87" s="9">
        <v>1</v>
      </c>
      <c r="D87" s="10">
        <v>13.99</v>
      </c>
      <c r="E87" s="9" t="s">
        <v>1728</v>
      </c>
      <c r="F87" s="8" t="s">
        <v>118</v>
      </c>
      <c r="G87" s="14"/>
      <c r="H87" s="10">
        <v>3.3661764705882353</v>
      </c>
      <c r="I87" s="8" t="s">
        <v>47</v>
      </c>
      <c r="J87" s="8" t="s">
        <v>137</v>
      </c>
      <c r="K87" s="8" t="s">
        <v>33</v>
      </c>
      <c r="L87" s="8"/>
      <c r="M87" s="15" t="str">
        <f>HYPERLINK("http://slimages.macys.com/is/image/MCY/8757225 ")</f>
        <v xml:space="preserve">http://slimages.macys.com/is/image/MCY/8757225 </v>
      </c>
      <c r="N87" s="13"/>
    </row>
    <row r="88" spans="1:14" ht="36" x14ac:dyDescent="0.25">
      <c r="A88" s="14" t="s">
        <v>1726</v>
      </c>
      <c r="B88" s="8" t="s">
        <v>1727</v>
      </c>
      <c r="C88" s="9">
        <v>2</v>
      </c>
      <c r="D88" s="10">
        <v>13.99</v>
      </c>
      <c r="E88" s="9" t="s">
        <v>1728</v>
      </c>
      <c r="F88" s="8" t="s">
        <v>118</v>
      </c>
      <c r="G88" s="14"/>
      <c r="H88" s="10">
        <v>3.3661764705882353</v>
      </c>
      <c r="I88" s="8" t="s">
        <v>47</v>
      </c>
      <c r="J88" s="8" t="s">
        <v>137</v>
      </c>
      <c r="K88" s="8" t="s">
        <v>33</v>
      </c>
      <c r="L88" s="8"/>
      <c r="M88" s="15" t="str">
        <f>HYPERLINK("http://slimages.macys.com/is/image/MCY/8757225 ")</f>
        <v xml:space="preserve">http://slimages.macys.com/is/image/MCY/8757225 </v>
      </c>
      <c r="N88" s="13"/>
    </row>
    <row r="89" spans="1:14" ht="36" x14ac:dyDescent="0.25">
      <c r="A89" s="14" t="s">
        <v>1481</v>
      </c>
      <c r="B89" s="8" t="s">
        <v>1482</v>
      </c>
      <c r="C89" s="9">
        <v>2</v>
      </c>
      <c r="D89" s="10">
        <v>23.99</v>
      </c>
      <c r="E89" s="9" t="s">
        <v>1483</v>
      </c>
      <c r="F89" s="8" t="s">
        <v>313</v>
      </c>
      <c r="G89" s="14"/>
      <c r="H89" s="10">
        <v>5.6</v>
      </c>
      <c r="I89" s="8" t="s">
        <v>47</v>
      </c>
      <c r="J89" s="8" t="s">
        <v>137</v>
      </c>
      <c r="K89" s="8" t="s">
        <v>33</v>
      </c>
      <c r="L89" s="8" t="s">
        <v>49</v>
      </c>
      <c r="M89" s="15" t="str">
        <f>HYPERLINK("http://slimages.macys.com/is/image/MCY/12295362 ")</f>
        <v xml:space="preserve">http://slimages.macys.com/is/image/MCY/12295362 </v>
      </c>
      <c r="N89" s="13"/>
    </row>
    <row r="90" spans="1:14" ht="36" x14ac:dyDescent="0.25">
      <c r="A90" s="14" t="s">
        <v>1805</v>
      </c>
      <c r="B90" s="8" t="s">
        <v>1806</v>
      </c>
      <c r="C90" s="9">
        <v>1</v>
      </c>
      <c r="D90" s="10">
        <v>11.99</v>
      </c>
      <c r="E90" s="9" t="s">
        <v>1807</v>
      </c>
      <c r="F90" s="8" t="s">
        <v>388</v>
      </c>
      <c r="G90" s="14"/>
      <c r="H90" s="10">
        <v>2.805147058823529</v>
      </c>
      <c r="I90" s="8" t="s">
        <v>47</v>
      </c>
      <c r="J90" s="8" t="s">
        <v>137</v>
      </c>
      <c r="K90" s="8" t="s">
        <v>33</v>
      </c>
      <c r="L90" s="8"/>
      <c r="M90" s="15" t="str">
        <f>HYPERLINK("http://slimages.macys.com/is/image/MCY/8757319 ")</f>
        <v xml:space="preserve">http://slimages.macys.com/is/image/MCY/8757319 </v>
      </c>
      <c r="N90" s="13"/>
    </row>
    <row r="91" spans="1:14" ht="36" x14ac:dyDescent="0.25">
      <c r="A91" s="14" t="s">
        <v>1732</v>
      </c>
      <c r="B91" s="8" t="s">
        <v>1733</v>
      </c>
      <c r="C91" s="9">
        <v>1</v>
      </c>
      <c r="D91" s="10">
        <v>13.99</v>
      </c>
      <c r="E91" s="9" t="s">
        <v>1734</v>
      </c>
      <c r="F91" s="8" t="s">
        <v>326</v>
      </c>
      <c r="G91" s="14" t="s">
        <v>427</v>
      </c>
      <c r="H91" s="10">
        <v>3.3661764705882353</v>
      </c>
      <c r="I91" s="8" t="s">
        <v>47</v>
      </c>
      <c r="J91" s="8" t="s">
        <v>137</v>
      </c>
      <c r="K91" s="8" t="s">
        <v>33</v>
      </c>
      <c r="L91" s="8"/>
      <c r="M91" s="15" t="str">
        <f>HYPERLINK("http://slimages.macys.com/is/image/MCY/8757319 ")</f>
        <v xml:space="preserve">http://slimages.macys.com/is/image/MCY/8757319 </v>
      </c>
      <c r="N91" s="13"/>
    </row>
    <row r="92" spans="1:14" ht="36" x14ac:dyDescent="0.25">
      <c r="A92" s="14" t="s">
        <v>1729</v>
      </c>
      <c r="B92" s="8" t="s">
        <v>1730</v>
      </c>
      <c r="C92" s="9">
        <v>1</v>
      </c>
      <c r="D92" s="10">
        <v>13.99</v>
      </c>
      <c r="E92" s="9" t="s">
        <v>1731</v>
      </c>
      <c r="F92" s="8" t="s">
        <v>388</v>
      </c>
      <c r="G92" s="14" t="s">
        <v>427</v>
      </c>
      <c r="H92" s="10">
        <v>3.3661764705882353</v>
      </c>
      <c r="I92" s="8" t="s">
        <v>47</v>
      </c>
      <c r="J92" s="8" t="s">
        <v>137</v>
      </c>
      <c r="K92" s="8" t="s">
        <v>33</v>
      </c>
      <c r="L92" s="8"/>
      <c r="M92" s="15" t="str">
        <f>HYPERLINK("http://slimages.macys.com/is/image/MCY/8757319 ")</f>
        <v xml:space="preserve">http://slimages.macys.com/is/image/MCY/8757319 </v>
      </c>
      <c r="N92" s="13"/>
    </row>
    <row r="93" spans="1:14" ht="36" x14ac:dyDescent="0.25">
      <c r="A93" s="14" t="s">
        <v>1674</v>
      </c>
      <c r="B93" s="8" t="s">
        <v>1675</v>
      </c>
      <c r="C93" s="9">
        <v>2</v>
      </c>
      <c r="D93" s="10">
        <v>15.99</v>
      </c>
      <c r="E93" s="9" t="s">
        <v>1676</v>
      </c>
      <c r="F93" s="8" t="s">
        <v>326</v>
      </c>
      <c r="G93" s="14"/>
      <c r="H93" s="10">
        <v>3.9272058823529412</v>
      </c>
      <c r="I93" s="8" t="s">
        <v>47</v>
      </c>
      <c r="J93" s="8" t="s">
        <v>137</v>
      </c>
      <c r="K93" s="8" t="s">
        <v>33</v>
      </c>
      <c r="L93" s="8"/>
      <c r="M93" s="15" t="str">
        <f>HYPERLINK("http://slimages.macys.com/is/image/MCY/8757319 ")</f>
        <v xml:space="preserve">http://slimages.macys.com/is/image/MCY/8757319 </v>
      </c>
      <c r="N93" s="13"/>
    </row>
    <row r="94" spans="1:14" ht="36" x14ac:dyDescent="0.25">
      <c r="A94" s="14" t="s">
        <v>1787</v>
      </c>
      <c r="B94" s="8" t="s">
        <v>1788</v>
      </c>
      <c r="C94" s="9">
        <v>1</v>
      </c>
      <c r="D94" s="10">
        <v>11.99</v>
      </c>
      <c r="E94" s="9" t="s">
        <v>1789</v>
      </c>
      <c r="F94" s="8" t="s">
        <v>30</v>
      </c>
      <c r="G94" s="14"/>
      <c r="H94" s="10">
        <v>2.8514705882352942</v>
      </c>
      <c r="I94" s="8" t="s">
        <v>47</v>
      </c>
      <c r="J94" s="8" t="s">
        <v>137</v>
      </c>
      <c r="K94" s="8" t="s">
        <v>33</v>
      </c>
      <c r="L94" s="8"/>
      <c r="M94" s="15" t="str">
        <f>HYPERLINK("http://slimages.macys.com/is/image/MCY/8757395 ")</f>
        <v xml:space="preserve">http://slimages.macys.com/is/image/MCY/8757395 </v>
      </c>
      <c r="N94" s="13"/>
    </row>
    <row r="95" spans="1:14" ht="36" x14ac:dyDescent="0.25">
      <c r="A95" s="14" t="s">
        <v>1570</v>
      </c>
      <c r="B95" s="8" t="s">
        <v>1571</v>
      </c>
      <c r="C95" s="9">
        <v>1</v>
      </c>
      <c r="D95" s="10">
        <v>15.99</v>
      </c>
      <c r="E95" s="9" t="s">
        <v>1572</v>
      </c>
      <c r="F95" s="8" t="s">
        <v>30</v>
      </c>
      <c r="G95" s="14"/>
      <c r="H95" s="10">
        <v>4.8022058823529408</v>
      </c>
      <c r="I95" s="8" t="s">
        <v>47</v>
      </c>
      <c r="J95" s="8" t="s">
        <v>137</v>
      </c>
      <c r="K95" s="8" t="s">
        <v>33</v>
      </c>
      <c r="L95" s="8"/>
      <c r="M95" s="15" t="str">
        <f>HYPERLINK("http://slimages.macys.com/is/image/MCY/8757395 ")</f>
        <v xml:space="preserve">http://slimages.macys.com/is/image/MCY/8757395 </v>
      </c>
      <c r="N95" s="13"/>
    </row>
    <row r="96" spans="1:14" ht="36" x14ac:dyDescent="0.25">
      <c r="A96" s="14" t="s">
        <v>1802</v>
      </c>
      <c r="B96" s="8" t="s">
        <v>1803</v>
      </c>
      <c r="C96" s="9">
        <v>2</v>
      </c>
      <c r="D96" s="10">
        <v>12.99</v>
      </c>
      <c r="E96" s="9" t="s">
        <v>1804</v>
      </c>
      <c r="F96" s="8" t="s">
        <v>96</v>
      </c>
      <c r="G96" s="14" t="s">
        <v>46</v>
      </c>
      <c r="H96" s="10">
        <v>2.805147058823529</v>
      </c>
      <c r="I96" s="8" t="s">
        <v>47</v>
      </c>
      <c r="J96" s="8" t="s">
        <v>137</v>
      </c>
      <c r="K96" s="8" t="s">
        <v>33</v>
      </c>
      <c r="L96" s="8"/>
      <c r="M96" s="15" t="str">
        <f>HYPERLINK("http://slimages.macys.com/is/image/MCY/8609323 ")</f>
        <v xml:space="preserve">http://slimages.macys.com/is/image/MCY/8609323 </v>
      </c>
      <c r="N96" s="13"/>
    </row>
    <row r="97" spans="1:14" ht="36" x14ac:dyDescent="0.25">
      <c r="A97" s="14" t="s">
        <v>1770</v>
      </c>
      <c r="B97" s="8" t="s">
        <v>1771</v>
      </c>
      <c r="C97" s="9">
        <v>4</v>
      </c>
      <c r="D97" s="10">
        <v>12.99</v>
      </c>
      <c r="E97" s="9" t="s">
        <v>1772</v>
      </c>
      <c r="F97" s="8" t="s">
        <v>726</v>
      </c>
      <c r="G97" s="14" t="s">
        <v>46</v>
      </c>
      <c r="H97" s="10">
        <v>3.0522058823529408</v>
      </c>
      <c r="I97" s="8" t="s">
        <v>47</v>
      </c>
      <c r="J97" s="8" t="s">
        <v>137</v>
      </c>
      <c r="K97" s="8" t="s">
        <v>33</v>
      </c>
      <c r="L97" s="8"/>
      <c r="M97" s="15" t="str">
        <f>HYPERLINK("http://slimages.macys.com/is/image/MCY/8609323 ")</f>
        <v xml:space="preserve">http://slimages.macys.com/is/image/MCY/8609323 </v>
      </c>
      <c r="N97" s="13"/>
    </row>
    <row r="98" spans="1:14" ht="36" x14ac:dyDescent="0.25">
      <c r="A98" s="14" t="s">
        <v>1773</v>
      </c>
      <c r="B98" s="8" t="s">
        <v>1774</v>
      </c>
      <c r="C98" s="9">
        <v>3</v>
      </c>
      <c r="D98" s="10">
        <v>12.99</v>
      </c>
      <c r="E98" s="9" t="s">
        <v>1775</v>
      </c>
      <c r="F98" s="8" t="s">
        <v>707</v>
      </c>
      <c r="G98" s="14" t="s">
        <v>46</v>
      </c>
      <c r="H98" s="10">
        <v>3.0522058823529408</v>
      </c>
      <c r="I98" s="8" t="s">
        <v>47</v>
      </c>
      <c r="J98" s="8" t="s">
        <v>137</v>
      </c>
      <c r="K98" s="8" t="s">
        <v>33</v>
      </c>
      <c r="L98" s="8"/>
      <c r="M98" s="15" t="str">
        <f>HYPERLINK("http://slimages.macys.com/is/image/MCY/8609323 ")</f>
        <v xml:space="preserve">http://slimages.macys.com/is/image/MCY/8609323 </v>
      </c>
      <c r="N98" s="13"/>
    </row>
    <row r="99" spans="1:14" ht="36" x14ac:dyDescent="0.25">
      <c r="A99" s="14" t="s">
        <v>1690</v>
      </c>
      <c r="B99" s="8" t="s">
        <v>1691</v>
      </c>
      <c r="C99" s="9">
        <v>3</v>
      </c>
      <c r="D99" s="10">
        <v>13.99</v>
      </c>
      <c r="E99" s="9" t="s">
        <v>1692</v>
      </c>
      <c r="F99" s="8" t="s">
        <v>96</v>
      </c>
      <c r="G99" s="14" t="s">
        <v>46</v>
      </c>
      <c r="H99" s="10">
        <v>3.6492647058823526</v>
      </c>
      <c r="I99" s="8" t="s">
        <v>47</v>
      </c>
      <c r="J99" s="8" t="s">
        <v>137</v>
      </c>
      <c r="K99" s="8" t="s">
        <v>33</v>
      </c>
      <c r="L99" s="8"/>
      <c r="M99" s="15" t="str">
        <f>HYPERLINK("http://slimages.macys.com/is/image/MCY/8609317 ")</f>
        <v xml:space="preserve">http://slimages.macys.com/is/image/MCY/8609317 </v>
      </c>
      <c r="N99" s="13"/>
    </row>
    <row r="100" spans="1:14" ht="36" x14ac:dyDescent="0.25">
      <c r="A100" s="14" t="s">
        <v>1638</v>
      </c>
      <c r="B100" s="8" t="s">
        <v>1639</v>
      </c>
      <c r="C100" s="9">
        <v>1</v>
      </c>
      <c r="D100" s="10">
        <v>17.989999999999998</v>
      </c>
      <c r="E100" s="9" t="s">
        <v>1640</v>
      </c>
      <c r="F100" s="8" t="s">
        <v>30</v>
      </c>
      <c r="G100" s="14" t="s">
        <v>46</v>
      </c>
      <c r="H100" s="10">
        <v>4.2102941176470585</v>
      </c>
      <c r="I100" s="8" t="s">
        <v>47</v>
      </c>
      <c r="J100" s="8" t="s">
        <v>137</v>
      </c>
      <c r="K100" s="8" t="s">
        <v>33</v>
      </c>
      <c r="L100" s="8" t="s">
        <v>68</v>
      </c>
      <c r="M100" s="15" t="str">
        <f>HYPERLINK("http://slimages.macys.com/is/image/MCY/896368 ")</f>
        <v xml:space="preserve">http://slimages.macys.com/is/image/MCY/896368 </v>
      </c>
      <c r="N100" s="13"/>
    </row>
    <row r="101" spans="1:14" ht="36" x14ac:dyDescent="0.25">
      <c r="A101" s="14" t="s">
        <v>1567</v>
      </c>
      <c r="B101" s="8" t="s">
        <v>1568</v>
      </c>
      <c r="C101" s="9">
        <v>4</v>
      </c>
      <c r="D101" s="10">
        <v>18.989999999999998</v>
      </c>
      <c r="E101" s="9" t="s">
        <v>1569</v>
      </c>
      <c r="F101" s="8" t="s">
        <v>96</v>
      </c>
      <c r="G101" s="14"/>
      <c r="H101" s="10">
        <v>4.8022058823529408</v>
      </c>
      <c r="I101" s="8" t="s">
        <v>47</v>
      </c>
      <c r="J101" s="8" t="s">
        <v>137</v>
      </c>
      <c r="K101" s="8" t="s">
        <v>33</v>
      </c>
      <c r="L101" s="8"/>
      <c r="M101" s="15" t="str">
        <f>HYPERLINK("http://slimages.macys.com/is/image/MCY/8757507 ")</f>
        <v xml:space="preserve">http://slimages.macys.com/is/image/MCY/8757507 </v>
      </c>
      <c r="N101" s="13"/>
    </row>
    <row r="102" spans="1:14" ht="36" x14ac:dyDescent="0.25">
      <c r="A102" s="14" t="s">
        <v>1567</v>
      </c>
      <c r="B102" s="8" t="s">
        <v>1568</v>
      </c>
      <c r="C102" s="9">
        <v>3</v>
      </c>
      <c r="D102" s="10">
        <v>18.989999999999998</v>
      </c>
      <c r="E102" s="9" t="s">
        <v>1569</v>
      </c>
      <c r="F102" s="8" t="s">
        <v>96</v>
      </c>
      <c r="G102" s="14"/>
      <c r="H102" s="10">
        <v>4.8022058823529408</v>
      </c>
      <c r="I102" s="8" t="s">
        <v>47</v>
      </c>
      <c r="J102" s="8" t="s">
        <v>137</v>
      </c>
      <c r="K102" s="8" t="s">
        <v>33</v>
      </c>
      <c r="L102" s="8"/>
      <c r="M102" s="15" t="str">
        <f>HYPERLINK("http://slimages.macys.com/is/image/MCY/8757507 ")</f>
        <v xml:space="preserve">http://slimages.macys.com/is/image/MCY/8757507 </v>
      </c>
      <c r="N102" s="13"/>
    </row>
    <row r="103" spans="1:14" ht="36" x14ac:dyDescent="0.25">
      <c r="A103" s="14" t="s">
        <v>1567</v>
      </c>
      <c r="B103" s="8" t="s">
        <v>1568</v>
      </c>
      <c r="C103" s="9">
        <v>6</v>
      </c>
      <c r="D103" s="10">
        <v>18.989999999999998</v>
      </c>
      <c r="E103" s="9" t="s">
        <v>1569</v>
      </c>
      <c r="F103" s="8" t="s">
        <v>96</v>
      </c>
      <c r="G103" s="14"/>
      <c r="H103" s="10">
        <v>4.8022058823529408</v>
      </c>
      <c r="I103" s="8" t="s">
        <v>47</v>
      </c>
      <c r="J103" s="8" t="s">
        <v>137</v>
      </c>
      <c r="K103" s="8" t="s">
        <v>33</v>
      </c>
      <c r="L103" s="8"/>
      <c r="M103" s="15" t="str">
        <f>HYPERLINK("http://slimages.macys.com/is/image/MCY/8757507 ")</f>
        <v xml:space="preserve">http://slimages.macys.com/is/image/MCY/8757507 </v>
      </c>
      <c r="N103" s="13"/>
    </row>
    <row r="104" spans="1:14" ht="36" x14ac:dyDescent="0.25">
      <c r="A104" s="14" t="s">
        <v>1561</v>
      </c>
      <c r="B104" s="8" t="s">
        <v>1562</v>
      </c>
      <c r="C104" s="9">
        <v>1</v>
      </c>
      <c r="D104" s="10">
        <v>18.989999999999998</v>
      </c>
      <c r="E104" s="9" t="s">
        <v>1563</v>
      </c>
      <c r="F104" s="8" t="s">
        <v>212</v>
      </c>
      <c r="G104" s="14"/>
      <c r="H104" s="10">
        <v>4.8022058823529408</v>
      </c>
      <c r="I104" s="8" t="s">
        <v>47</v>
      </c>
      <c r="J104" s="8" t="s">
        <v>137</v>
      </c>
      <c r="K104" s="8" t="s">
        <v>33</v>
      </c>
      <c r="L104" s="8"/>
      <c r="M104" s="15" t="str">
        <f>HYPERLINK("http://slimages.macys.com/is/image/MCY/8757507 ")</f>
        <v xml:space="preserve">http://slimages.macys.com/is/image/MCY/8757507 </v>
      </c>
      <c r="N104" s="13"/>
    </row>
    <row r="105" spans="1:14" ht="36" x14ac:dyDescent="0.25">
      <c r="A105" s="14" t="s">
        <v>1561</v>
      </c>
      <c r="B105" s="8" t="s">
        <v>1562</v>
      </c>
      <c r="C105" s="9">
        <v>4</v>
      </c>
      <c r="D105" s="10">
        <v>18.989999999999998</v>
      </c>
      <c r="E105" s="9" t="s">
        <v>1563</v>
      </c>
      <c r="F105" s="8" t="s">
        <v>212</v>
      </c>
      <c r="G105" s="14"/>
      <c r="H105" s="10">
        <v>4.8022058823529408</v>
      </c>
      <c r="I105" s="8" t="s">
        <v>47</v>
      </c>
      <c r="J105" s="8" t="s">
        <v>137</v>
      </c>
      <c r="K105" s="8" t="s">
        <v>33</v>
      </c>
      <c r="L105" s="8"/>
      <c r="M105" s="15" t="str">
        <f>HYPERLINK("http://slimages.macys.com/is/image/MCY/8757507 ")</f>
        <v xml:space="preserve">http://slimages.macys.com/is/image/MCY/8757507 </v>
      </c>
      <c r="N105" s="13"/>
    </row>
    <row r="106" spans="1:14" ht="36" x14ac:dyDescent="0.25">
      <c r="A106" s="14" t="s">
        <v>1744</v>
      </c>
      <c r="B106" s="8" t="s">
        <v>1745</v>
      </c>
      <c r="C106" s="9">
        <v>6</v>
      </c>
      <c r="D106" s="10">
        <v>14.99</v>
      </c>
      <c r="E106" s="9" t="s">
        <v>1746</v>
      </c>
      <c r="F106" s="8" t="s">
        <v>85</v>
      </c>
      <c r="G106" s="14" t="s">
        <v>1461</v>
      </c>
      <c r="H106" s="10">
        <v>3.227205882352941</v>
      </c>
      <c r="I106" s="8" t="s">
        <v>47</v>
      </c>
      <c r="J106" s="8" t="s">
        <v>137</v>
      </c>
      <c r="K106" s="8" t="s">
        <v>33</v>
      </c>
      <c r="L106" s="8" t="s">
        <v>49</v>
      </c>
      <c r="M106" s="15" t="str">
        <f>HYPERLINK("http://slimages.macys.com/is/image/MCY/12295559 ")</f>
        <v xml:space="preserve">http://slimages.macys.com/is/image/MCY/12295559 </v>
      </c>
      <c r="N106" s="13"/>
    </row>
    <row r="107" spans="1:14" ht="36" x14ac:dyDescent="0.25">
      <c r="A107" s="14" t="s">
        <v>1308</v>
      </c>
      <c r="B107" s="8" t="s">
        <v>1309</v>
      </c>
      <c r="C107" s="9">
        <v>1</v>
      </c>
      <c r="D107" s="10">
        <v>26.99</v>
      </c>
      <c r="E107" s="9" t="s">
        <v>1310</v>
      </c>
      <c r="F107" s="8" t="s">
        <v>45</v>
      </c>
      <c r="G107" s="14" t="s">
        <v>1252</v>
      </c>
      <c r="H107" s="10">
        <v>6.8404411764705886</v>
      </c>
      <c r="I107" s="8" t="s">
        <v>47</v>
      </c>
      <c r="J107" s="8" t="s">
        <v>137</v>
      </c>
      <c r="K107" s="8" t="s">
        <v>33</v>
      </c>
      <c r="L107" s="8" t="s">
        <v>748</v>
      </c>
      <c r="M107" s="15" t="str">
        <f>HYPERLINK("http://slimages.macys.com/is/image/MCY/1466811 ")</f>
        <v xml:space="preserve">http://slimages.macys.com/is/image/MCY/1466811 </v>
      </c>
      <c r="N107" s="13"/>
    </row>
    <row r="108" spans="1:14" ht="36" x14ac:dyDescent="0.25">
      <c r="A108" s="14" t="s">
        <v>1249</v>
      </c>
      <c r="B108" s="8" t="s">
        <v>1250</v>
      </c>
      <c r="C108" s="9">
        <v>4</v>
      </c>
      <c r="D108" s="10">
        <v>28.99</v>
      </c>
      <c r="E108" s="9" t="s">
        <v>1251</v>
      </c>
      <c r="F108" s="8" t="s">
        <v>45</v>
      </c>
      <c r="G108" s="14" t="s">
        <v>1252</v>
      </c>
      <c r="H108" s="10">
        <v>7.4323529411764708</v>
      </c>
      <c r="I108" s="8" t="s">
        <v>47</v>
      </c>
      <c r="J108" s="8" t="s">
        <v>137</v>
      </c>
      <c r="K108" s="8" t="s">
        <v>33</v>
      </c>
      <c r="L108" s="8" t="s">
        <v>748</v>
      </c>
      <c r="M108" s="15" t="str">
        <f>HYPERLINK("http://slimages.macys.com/is/image/MCY/1466811 ")</f>
        <v xml:space="preserve">http://slimages.macys.com/is/image/MCY/1466811 </v>
      </c>
      <c r="N108" s="13"/>
    </row>
    <row r="109" spans="1:14" ht="48" x14ac:dyDescent="0.25">
      <c r="A109" s="14" t="s">
        <v>57</v>
      </c>
      <c r="B109" s="8" t="s">
        <v>58</v>
      </c>
      <c r="C109" s="9">
        <v>1</v>
      </c>
      <c r="D109" s="10">
        <v>308.99</v>
      </c>
      <c r="E109" s="9" t="s">
        <v>59</v>
      </c>
      <c r="F109" s="8" t="s">
        <v>38</v>
      </c>
      <c r="G109" s="14" t="s">
        <v>60</v>
      </c>
      <c r="H109" s="10">
        <v>45.860294117647051</v>
      </c>
      <c r="I109" s="8" t="s">
        <v>31</v>
      </c>
      <c r="J109" s="8" t="s">
        <v>61</v>
      </c>
      <c r="K109" s="8" t="s">
        <v>33</v>
      </c>
      <c r="L109" s="8" t="s">
        <v>62</v>
      </c>
      <c r="M109" s="15" t="str">
        <f>HYPERLINK("http://slimages.macys.com/is/image/MCY/10784655 ")</f>
        <v xml:space="preserve">http://slimages.macys.com/is/image/MCY/10784655 </v>
      </c>
      <c r="N109" s="13"/>
    </row>
    <row r="110" spans="1:14" ht="36" x14ac:dyDescent="0.25">
      <c r="A110" s="14" t="s">
        <v>69</v>
      </c>
      <c r="B110" s="8" t="s">
        <v>70</v>
      </c>
      <c r="C110" s="9">
        <v>1</v>
      </c>
      <c r="D110" s="10">
        <v>268.99</v>
      </c>
      <c r="E110" s="9" t="s">
        <v>71</v>
      </c>
      <c r="F110" s="8" t="s">
        <v>72</v>
      </c>
      <c r="G110" s="14" t="s">
        <v>73</v>
      </c>
      <c r="H110" s="10">
        <v>44.55</v>
      </c>
      <c r="I110" s="8" t="s">
        <v>31</v>
      </c>
      <c r="J110" s="8" t="s">
        <v>61</v>
      </c>
      <c r="K110" s="8" t="s">
        <v>33</v>
      </c>
      <c r="L110" s="8" t="s">
        <v>74</v>
      </c>
      <c r="M110" s="15" t="str">
        <f>HYPERLINK("http://slimages.macys.com/is/image/MCY/11295990 ")</f>
        <v xml:space="preserve">http://slimages.macys.com/is/image/MCY/11295990 </v>
      </c>
      <c r="N110" s="13"/>
    </row>
    <row r="111" spans="1:14" ht="48" x14ac:dyDescent="0.25">
      <c r="A111" s="14" t="s">
        <v>145</v>
      </c>
      <c r="B111" s="8" t="s">
        <v>146</v>
      </c>
      <c r="C111" s="9">
        <v>1</v>
      </c>
      <c r="D111" s="10">
        <v>197.99</v>
      </c>
      <c r="E111" s="9" t="s">
        <v>147</v>
      </c>
      <c r="F111" s="8" t="s">
        <v>148</v>
      </c>
      <c r="G111" s="14" t="s">
        <v>60</v>
      </c>
      <c r="H111" s="10">
        <v>32.757352941176464</v>
      </c>
      <c r="I111" s="8" t="s">
        <v>31</v>
      </c>
      <c r="J111" s="8" t="s">
        <v>61</v>
      </c>
      <c r="K111" s="8" t="s">
        <v>33</v>
      </c>
      <c r="L111" s="8" t="s">
        <v>62</v>
      </c>
      <c r="M111" s="15" t="str">
        <f>HYPERLINK("http://slimages.macys.com/is/image/MCY/9999217 ")</f>
        <v xml:space="preserve">http://slimages.macys.com/is/image/MCY/9999217 </v>
      </c>
      <c r="N111" s="13"/>
    </row>
    <row r="112" spans="1:14" ht="48" x14ac:dyDescent="0.25">
      <c r="A112" s="14" t="s">
        <v>149</v>
      </c>
      <c r="B112" s="8" t="s">
        <v>150</v>
      </c>
      <c r="C112" s="9">
        <v>1</v>
      </c>
      <c r="D112" s="10">
        <v>166.99</v>
      </c>
      <c r="E112" s="9" t="s">
        <v>151</v>
      </c>
      <c r="F112" s="8" t="s">
        <v>152</v>
      </c>
      <c r="G112" s="14" t="s">
        <v>60</v>
      </c>
      <c r="H112" s="10">
        <v>32.757352941176464</v>
      </c>
      <c r="I112" s="8" t="s">
        <v>31</v>
      </c>
      <c r="J112" s="8" t="s">
        <v>61</v>
      </c>
      <c r="K112" s="8" t="s">
        <v>33</v>
      </c>
      <c r="L112" s="8" t="s">
        <v>62</v>
      </c>
      <c r="M112" s="15" t="str">
        <f>HYPERLINK("http://slimages.macys.com/is/image/MCY/9999217 ")</f>
        <v xml:space="preserve">http://slimages.macys.com/is/image/MCY/9999217 </v>
      </c>
      <c r="N112" s="13"/>
    </row>
    <row r="113" spans="1:14" ht="36" x14ac:dyDescent="0.25">
      <c r="A113" s="14" t="s">
        <v>197</v>
      </c>
      <c r="B113" s="8" t="s">
        <v>198</v>
      </c>
      <c r="C113" s="9">
        <v>1</v>
      </c>
      <c r="D113" s="10">
        <v>178.99</v>
      </c>
      <c r="E113" s="9" t="s">
        <v>199</v>
      </c>
      <c r="F113" s="8" t="s">
        <v>118</v>
      </c>
      <c r="G113" s="14" t="s">
        <v>73</v>
      </c>
      <c r="H113" s="10">
        <v>29.7</v>
      </c>
      <c r="I113" s="8" t="s">
        <v>31</v>
      </c>
      <c r="J113" s="8" t="s">
        <v>61</v>
      </c>
      <c r="K113" s="8" t="s">
        <v>33</v>
      </c>
      <c r="L113" s="8" t="s">
        <v>200</v>
      </c>
      <c r="M113" s="15" t="str">
        <f>HYPERLINK("http://slimages.macys.com/is/image/MCY/9999253 ")</f>
        <v xml:space="preserve">http://slimages.macys.com/is/image/MCY/9999253 </v>
      </c>
      <c r="N113" s="13"/>
    </row>
    <row r="114" spans="1:14" ht="48" x14ac:dyDescent="0.25">
      <c r="A114" s="14" t="s">
        <v>434</v>
      </c>
      <c r="B114" s="8" t="s">
        <v>435</v>
      </c>
      <c r="C114" s="9">
        <v>1</v>
      </c>
      <c r="D114" s="10">
        <v>121.99</v>
      </c>
      <c r="E114" s="9" t="s">
        <v>436</v>
      </c>
      <c r="F114" s="8" t="s">
        <v>300</v>
      </c>
      <c r="G114" s="14" t="s">
        <v>73</v>
      </c>
      <c r="H114" s="10">
        <v>20.091176470588234</v>
      </c>
      <c r="I114" s="8" t="s">
        <v>31</v>
      </c>
      <c r="J114" s="8" t="s">
        <v>61</v>
      </c>
      <c r="K114" s="8" t="s">
        <v>33</v>
      </c>
      <c r="L114" s="8" t="s">
        <v>62</v>
      </c>
      <c r="M114" s="15" t="str">
        <f>HYPERLINK("http://slimages.macys.com/is/image/MCY/12230126 ")</f>
        <v xml:space="preserve">http://slimages.macys.com/is/image/MCY/12230126 </v>
      </c>
      <c r="N114" s="13"/>
    </row>
    <row r="115" spans="1:14" ht="48" x14ac:dyDescent="0.25">
      <c r="A115" s="14" t="s">
        <v>80</v>
      </c>
      <c r="B115" s="8" t="s">
        <v>81</v>
      </c>
      <c r="C115" s="9">
        <v>1</v>
      </c>
      <c r="D115" s="10">
        <v>288.99</v>
      </c>
      <c r="E115" s="9" t="s">
        <v>82</v>
      </c>
      <c r="F115" s="8" t="s">
        <v>38</v>
      </c>
      <c r="G115" s="14" t="s">
        <v>73</v>
      </c>
      <c r="H115" s="10">
        <v>42.80294117647059</v>
      </c>
      <c r="I115" s="8" t="s">
        <v>31</v>
      </c>
      <c r="J115" s="8" t="s">
        <v>61</v>
      </c>
      <c r="K115" s="8" t="s">
        <v>33</v>
      </c>
      <c r="L115" s="8" t="s">
        <v>62</v>
      </c>
      <c r="M115" s="15" t="str">
        <f>HYPERLINK("http://slimages.macys.com/is/image/MCY/10780889 ")</f>
        <v xml:space="preserve">http://slimages.macys.com/is/image/MCY/10780889 </v>
      </c>
      <c r="N115" s="13"/>
    </row>
    <row r="116" spans="1:14" ht="48" x14ac:dyDescent="0.25">
      <c r="A116" s="14" t="s">
        <v>389</v>
      </c>
      <c r="B116" s="8" t="s">
        <v>390</v>
      </c>
      <c r="C116" s="9">
        <v>1</v>
      </c>
      <c r="D116" s="10">
        <v>144.99</v>
      </c>
      <c r="E116" s="9" t="s">
        <v>391</v>
      </c>
      <c r="F116" s="8" t="s">
        <v>164</v>
      </c>
      <c r="G116" s="14"/>
      <c r="H116" s="10">
        <v>21.401470588235295</v>
      </c>
      <c r="I116" s="8" t="s">
        <v>31</v>
      </c>
      <c r="J116" s="8" t="s">
        <v>61</v>
      </c>
      <c r="K116" s="8" t="s">
        <v>33</v>
      </c>
      <c r="L116" s="8" t="s">
        <v>392</v>
      </c>
      <c r="M116" s="15" t="str">
        <f>HYPERLINK("http://slimages.macys.com/is/image/MCY/10651156 ")</f>
        <v xml:space="preserve">http://slimages.macys.com/is/image/MCY/10651156 </v>
      </c>
      <c r="N116" s="13"/>
    </row>
    <row r="117" spans="1:14" ht="48" x14ac:dyDescent="0.25">
      <c r="A117" s="14" t="s">
        <v>874</v>
      </c>
      <c r="B117" s="8" t="s">
        <v>875</v>
      </c>
      <c r="C117" s="9">
        <v>1</v>
      </c>
      <c r="D117" s="10">
        <v>49.99</v>
      </c>
      <c r="E117" s="9" t="s">
        <v>876</v>
      </c>
      <c r="F117" s="8" t="s">
        <v>30</v>
      </c>
      <c r="G117" s="14" t="s">
        <v>877</v>
      </c>
      <c r="H117" s="10">
        <v>11.029411764705882</v>
      </c>
      <c r="I117" s="8" t="s">
        <v>54</v>
      </c>
      <c r="J117" s="8" t="s">
        <v>878</v>
      </c>
      <c r="K117" s="8" t="s">
        <v>33</v>
      </c>
      <c r="L117" s="8" t="s">
        <v>214</v>
      </c>
      <c r="M117" s="15" t="str">
        <f>HYPERLINK("http://slimages.macys.com/is/image/MCY/3833705 ")</f>
        <v xml:space="preserve">http://slimages.macys.com/is/image/MCY/3833705 </v>
      </c>
      <c r="N117" s="13"/>
    </row>
    <row r="118" spans="1:14" ht="48" x14ac:dyDescent="0.25">
      <c r="A118" s="14" t="s">
        <v>1212</v>
      </c>
      <c r="B118" s="8" t="s">
        <v>1213</v>
      </c>
      <c r="C118" s="9">
        <v>1</v>
      </c>
      <c r="D118" s="10">
        <v>49.99</v>
      </c>
      <c r="E118" s="9" t="s">
        <v>1214</v>
      </c>
      <c r="F118" s="8"/>
      <c r="G118" s="14"/>
      <c r="H118" s="10">
        <v>7.5705882352941165</v>
      </c>
      <c r="I118" s="8" t="s">
        <v>54</v>
      </c>
      <c r="J118" s="8" t="s">
        <v>878</v>
      </c>
      <c r="K118" s="8" t="s">
        <v>33</v>
      </c>
      <c r="L118" s="8" t="s">
        <v>49</v>
      </c>
      <c r="M118" s="15" t="str">
        <f>HYPERLINK("http://slimages.macys.com/is/image/MCY/11012501 ")</f>
        <v xml:space="preserve">http://slimages.macys.com/is/image/MCY/11012501 </v>
      </c>
      <c r="N118" s="13"/>
    </row>
    <row r="119" spans="1:14" ht="48" x14ac:dyDescent="0.25">
      <c r="A119" s="14" t="s">
        <v>1170</v>
      </c>
      <c r="B119" s="8" t="s">
        <v>1171</v>
      </c>
      <c r="C119" s="9">
        <v>1</v>
      </c>
      <c r="D119" s="10">
        <v>49.99</v>
      </c>
      <c r="E119" s="9" t="s">
        <v>1172</v>
      </c>
      <c r="F119" s="8" t="s">
        <v>1173</v>
      </c>
      <c r="G119" s="14" t="s">
        <v>1105</v>
      </c>
      <c r="H119" s="10">
        <v>7.7426470588235281</v>
      </c>
      <c r="I119" s="8" t="s">
        <v>54</v>
      </c>
      <c r="J119" s="8" t="s">
        <v>878</v>
      </c>
      <c r="K119" s="8" t="s">
        <v>33</v>
      </c>
      <c r="L119" s="8" t="s">
        <v>49</v>
      </c>
      <c r="M119" s="15" t="str">
        <f>HYPERLINK("http://slimages.macys.com/is/image/MCY/13760567 ")</f>
        <v xml:space="preserve">http://slimages.macys.com/is/image/MCY/13760567 </v>
      </c>
      <c r="N119" s="13"/>
    </row>
    <row r="120" spans="1:14" ht="48" x14ac:dyDescent="0.25">
      <c r="A120" s="14" t="s">
        <v>901</v>
      </c>
      <c r="B120" s="8" t="s">
        <v>902</v>
      </c>
      <c r="C120" s="9">
        <v>1</v>
      </c>
      <c r="D120" s="10">
        <v>49.99</v>
      </c>
      <c r="E120" s="9" t="s">
        <v>903</v>
      </c>
      <c r="F120" s="8"/>
      <c r="G120" s="14"/>
      <c r="H120" s="10">
        <v>10.425000000000001</v>
      </c>
      <c r="I120" s="8" t="s">
        <v>54</v>
      </c>
      <c r="J120" s="8" t="s">
        <v>878</v>
      </c>
      <c r="K120" s="8" t="s">
        <v>33</v>
      </c>
      <c r="L120" s="8"/>
      <c r="M120" s="15" t="str">
        <f>HYPERLINK("http://slimages.macys.com/is/image/MCY/9569374 ")</f>
        <v xml:space="preserve">http://slimages.macys.com/is/image/MCY/9569374 </v>
      </c>
      <c r="N120" s="13"/>
    </row>
    <row r="121" spans="1:14" ht="48" x14ac:dyDescent="0.25">
      <c r="A121" s="14" t="s">
        <v>1833</v>
      </c>
      <c r="B121" s="8" t="s">
        <v>1834</v>
      </c>
      <c r="C121" s="9">
        <v>7</v>
      </c>
      <c r="D121" s="10">
        <v>16.989999999999998</v>
      </c>
      <c r="E121" s="9" t="s">
        <v>1835</v>
      </c>
      <c r="F121" s="8" t="s">
        <v>30</v>
      </c>
      <c r="G121" s="14"/>
      <c r="H121" s="10">
        <v>2.4294117647058822</v>
      </c>
      <c r="I121" s="8" t="s">
        <v>47</v>
      </c>
      <c r="J121" s="8" t="s">
        <v>647</v>
      </c>
      <c r="K121" s="8" t="s">
        <v>33</v>
      </c>
      <c r="L121" s="8" t="s">
        <v>49</v>
      </c>
      <c r="M121" s="15" t="str">
        <f>HYPERLINK("http://slimages.macys.com/is/image/MCY/12264913 ")</f>
        <v xml:space="preserve">http://slimages.macys.com/is/image/MCY/12264913 </v>
      </c>
      <c r="N121" s="13"/>
    </row>
    <row r="122" spans="1:14" ht="36" x14ac:dyDescent="0.25">
      <c r="A122" s="14" t="s">
        <v>1693</v>
      </c>
      <c r="B122" s="8" t="s">
        <v>1694</v>
      </c>
      <c r="C122" s="9">
        <v>1</v>
      </c>
      <c r="D122" s="10">
        <v>14.99</v>
      </c>
      <c r="E122" s="9" t="s">
        <v>1695</v>
      </c>
      <c r="F122" s="8" t="s">
        <v>30</v>
      </c>
      <c r="G122" s="14"/>
      <c r="H122" s="10">
        <v>3.6492647058823526</v>
      </c>
      <c r="I122" s="8" t="s">
        <v>47</v>
      </c>
      <c r="J122" s="8" t="s">
        <v>137</v>
      </c>
      <c r="K122" s="8" t="s">
        <v>33</v>
      </c>
      <c r="L122" s="8"/>
      <c r="M122" s="15" t="str">
        <f>HYPERLINK("http://slimages.macys.com/is/image/MCY/8757789 ")</f>
        <v xml:space="preserve">http://slimages.macys.com/is/image/MCY/8757789 </v>
      </c>
      <c r="N122" s="13"/>
    </row>
    <row r="123" spans="1:14" ht="36" x14ac:dyDescent="0.25">
      <c r="A123" s="14" t="s">
        <v>1647</v>
      </c>
      <c r="B123" s="8" t="s">
        <v>1648</v>
      </c>
      <c r="C123" s="9">
        <v>1</v>
      </c>
      <c r="D123" s="10">
        <v>16.989999999999998</v>
      </c>
      <c r="E123" s="9" t="s">
        <v>1649</v>
      </c>
      <c r="F123" s="8" t="s">
        <v>30</v>
      </c>
      <c r="G123" s="14"/>
      <c r="H123" s="10">
        <v>4.0661764705882355</v>
      </c>
      <c r="I123" s="8" t="s">
        <v>47</v>
      </c>
      <c r="J123" s="8" t="s">
        <v>137</v>
      </c>
      <c r="K123" s="8" t="s">
        <v>33</v>
      </c>
      <c r="L123" s="8"/>
      <c r="M123" s="15" t="str">
        <f>HYPERLINK("http://slimages.macys.com/is/image/MCY/8757789 ")</f>
        <v xml:space="preserve">http://slimages.macys.com/is/image/MCY/8757789 </v>
      </c>
      <c r="N123" s="13"/>
    </row>
    <row r="124" spans="1:14" ht="36" x14ac:dyDescent="0.25">
      <c r="A124" s="14" t="s">
        <v>1647</v>
      </c>
      <c r="B124" s="8" t="s">
        <v>1648</v>
      </c>
      <c r="C124" s="9">
        <v>1</v>
      </c>
      <c r="D124" s="10">
        <v>16.989999999999998</v>
      </c>
      <c r="E124" s="9" t="s">
        <v>1649</v>
      </c>
      <c r="F124" s="8" t="s">
        <v>30</v>
      </c>
      <c r="G124" s="14"/>
      <c r="H124" s="10">
        <v>4.0661764705882355</v>
      </c>
      <c r="I124" s="8" t="s">
        <v>47</v>
      </c>
      <c r="J124" s="8" t="s">
        <v>137</v>
      </c>
      <c r="K124" s="8" t="s">
        <v>33</v>
      </c>
      <c r="L124" s="8"/>
      <c r="M124" s="15" t="str">
        <f>HYPERLINK("http://slimages.macys.com/is/image/MCY/8757789 ")</f>
        <v xml:space="preserve">http://slimages.macys.com/is/image/MCY/8757789 </v>
      </c>
      <c r="N124" s="13"/>
    </row>
    <row r="125" spans="1:14" ht="36" x14ac:dyDescent="0.25">
      <c r="A125" s="14" t="s">
        <v>1682</v>
      </c>
      <c r="B125" s="8" t="s">
        <v>1683</v>
      </c>
      <c r="C125" s="9">
        <v>2</v>
      </c>
      <c r="D125" s="10">
        <v>14.99</v>
      </c>
      <c r="E125" s="9" t="s">
        <v>1684</v>
      </c>
      <c r="F125" s="8" t="s">
        <v>30</v>
      </c>
      <c r="G125" s="14"/>
      <c r="H125" s="10">
        <v>3.8602941176470584</v>
      </c>
      <c r="I125" s="8" t="s">
        <v>47</v>
      </c>
      <c r="J125" s="8" t="s">
        <v>137</v>
      </c>
      <c r="K125" s="8" t="s">
        <v>33</v>
      </c>
      <c r="L125" s="8"/>
      <c r="M125" s="15" t="str">
        <f>HYPERLINK("http://slimages.macys.com/is/image/MCY/8757902 ")</f>
        <v xml:space="preserve">http://slimages.macys.com/is/image/MCY/8757902 </v>
      </c>
      <c r="N125" s="13"/>
    </row>
    <row r="126" spans="1:14" ht="36" x14ac:dyDescent="0.25">
      <c r="A126" s="14" t="s">
        <v>1609</v>
      </c>
      <c r="B126" s="8" t="s">
        <v>1610</v>
      </c>
      <c r="C126" s="9">
        <v>1</v>
      </c>
      <c r="D126" s="10">
        <v>16.989999999999998</v>
      </c>
      <c r="E126" s="9" t="s">
        <v>1611</v>
      </c>
      <c r="F126" s="8" t="s">
        <v>173</v>
      </c>
      <c r="G126" s="14"/>
      <c r="H126" s="10">
        <v>4.4779411764705879</v>
      </c>
      <c r="I126" s="8" t="s">
        <v>47</v>
      </c>
      <c r="J126" s="8" t="s">
        <v>137</v>
      </c>
      <c r="K126" s="8" t="s">
        <v>33</v>
      </c>
      <c r="L126" s="8"/>
      <c r="M126" s="15" t="str">
        <f>HYPERLINK("http://slimages.macys.com/is/image/MCY/8757902 ")</f>
        <v xml:space="preserve">http://slimages.macys.com/is/image/MCY/8757902 </v>
      </c>
      <c r="N126" s="13"/>
    </row>
    <row r="127" spans="1:14" ht="36" x14ac:dyDescent="0.25">
      <c r="A127" s="14" t="s">
        <v>1612</v>
      </c>
      <c r="B127" s="8" t="s">
        <v>1613</v>
      </c>
      <c r="C127" s="9">
        <v>4</v>
      </c>
      <c r="D127" s="10">
        <v>16.989999999999998</v>
      </c>
      <c r="E127" s="9" t="s">
        <v>1614</v>
      </c>
      <c r="F127" s="8" t="s">
        <v>30</v>
      </c>
      <c r="G127" s="14"/>
      <c r="H127" s="10">
        <v>4.4779411764705879</v>
      </c>
      <c r="I127" s="8" t="s">
        <v>47</v>
      </c>
      <c r="J127" s="8" t="s">
        <v>137</v>
      </c>
      <c r="K127" s="8" t="s">
        <v>33</v>
      </c>
      <c r="L127" s="8"/>
      <c r="M127" s="15" t="str">
        <f>HYPERLINK("http://slimages.macys.com/is/image/MCY/8757902 ")</f>
        <v xml:space="preserve">http://slimages.macys.com/is/image/MCY/8757902 </v>
      </c>
      <c r="N127" s="13"/>
    </row>
    <row r="128" spans="1:14" ht="36" x14ac:dyDescent="0.25">
      <c r="A128" s="14" t="s">
        <v>745</v>
      </c>
      <c r="B128" s="8" t="s">
        <v>746</v>
      </c>
      <c r="C128" s="9">
        <v>1</v>
      </c>
      <c r="D128" s="10">
        <v>48.99</v>
      </c>
      <c r="E128" s="9" t="s">
        <v>747</v>
      </c>
      <c r="F128" s="8" t="s">
        <v>45</v>
      </c>
      <c r="G128" s="14"/>
      <c r="H128" s="10">
        <v>12.34264705882353</v>
      </c>
      <c r="I128" s="8" t="s">
        <v>47</v>
      </c>
      <c r="J128" s="8" t="s">
        <v>137</v>
      </c>
      <c r="K128" s="8" t="s">
        <v>33</v>
      </c>
      <c r="L128" s="8" t="s">
        <v>748</v>
      </c>
      <c r="M128" s="15" t="str">
        <f>HYPERLINK("http://slimages.macys.com/is/image/MCY/12703765 ")</f>
        <v xml:space="preserve">http://slimages.macys.com/is/image/MCY/12703765 </v>
      </c>
      <c r="N128" s="13"/>
    </row>
    <row r="129" spans="1:14" ht="36" x14ac:dyDescent="0.25">
      <c r="A129" s="14" t="s">
        <v>1696</v>
      </c>
      <c r="B129" s="8" t="s">
        <v>1697</v>
      </c>
      <c r="C129" s="9">
        <v>1</v>
      </c>
      <c r="D129" s="10">
        <v>14.99</v>
      </c>
      <c r="E129" s="9" t="s">
        <v>1698</v>
      </c>
      <c r="F129" s="8" t="s">
        <v>118</v>
      </c>
      <c r="G129" s="14" t="s">
        <v>427</v>
      </c>
      <c r="H129" s="10">
        <v>3.6492647058823526</v>
      </c>
      <c r="I129" s="8" t="s">
        <v>47</v>
      </c>
      <c r="J129" s="8" t="s">
        <v>137</v>
      </c>
      <c r="K129" s="8" t="s">
        <v>33</v>
      </c>
      <c r="L129" s="8"/>
      <c r="M129" s="15" t="str">
        <f>HYPERLINK("http://slimages.macys.com/is/image/MCY/8758046 ")</f>
        <v xml:space="preserve">http://slimages.macys.com/is/image/MCY/8758046 </v>
      </c>
      <c r="N129" s="13"/>
    </row>
    <row r="130" spans="1:14" ht="48" x14ac:dyDescent="0.25">
      <c r="A130" s="14" t="s">
        <v>860</v>
      </c>
      <c r="B130" s="8" t="s">
        <v>861</v>
      </c>
      <c r="C130" s="9">
        <v>1</v>
      </c>
      <c r="D130" s="10">
        <v>49.99</v>
      </c>
      <c r="E130" s="9" t="s">
        <v>862</v>
      </c>
      <c r="F130" s="8" t="s">
        <v>123</v>
      </c>
      <c r="G130" s="14"/>
      <c r="H130" s="10">
        <v>11.066176470588236</v>
      </c>
      <c r="I130" s="8" t="s">
        <v>47</v>
      </c>
      <c r="J130" s="8" t="s">
        <v>863</v>
      </c>
      <c r="K130" s="8"/>
      <c r="L130" s="8"/>
      <c r="M130" s="15" t="str">
        <f>HYPERLINK("http://slimages.macys.com/is/image/MCY/17319818 ")</f>
        <v xml:space="preserve">http://slimages.macys.com/is/image/MCY/17319818 </v>
      </c>
      <c r="N130" s="13"/>
    </row>
    <row r="131" spans="1:14" ht="60" x14ac:dyDescent="0.25">
      <c r="A131" s="14" t="s">
        <v>1716</v>
      </c>
      <c r="B131" s="8" t="s">
        <v>1717</v>
      </c>
      <c r="C131" s="9">
        <v>1</v>
      </c>
      <c r="D131" s="10">
        <v>22.99</v>
      </c>
      <c r="E131" s="9" t="s">
        <v>1718</v>
      </c>
      <c r="F131" s="8" t="s">
        <v>123</v>
      </c>
      <c r="G131" s="14"/>
      <c r="H131" s="10">
        <v>3.3749999999999996</v>
      </c>
      <c r="I131" s="8" t="s">
        <v>31</v>
      </c>
      <c r="J131" s="8" t="s">
        <v>1719</v>
      </c>
      <c r="K131" s="8" t="s">
        <v>33</v>
      </c>
      <c r="L131" s="8" t="s">
        <v>200</v>
      </c>
      <c r="M131" s="15" t="str">
        <f>HYPERLINK("http://slimages.macys.com/is/image/MCY/10182056 ")</f>
        <v xml:space="preserve">http://slimages.macys.com/is/image/MCY/10182056 </v>
      </c>
      <c r="N131" s="13"/>
    </row>
    <row r="132" spans="1:14" ht="60" x14ac:dyDescent="0.25">
      <c r="A132" s="14" t="s">
        <v>1720</v>
      </c>
      <c r="B132" s="8" t="s">
        <v>1721</v>
      </c>
      <c r="C132" s="9">
        <v>1</v>
      </c>
      <c r="D132" s="10">
        <v>22.99</v>
      </c>
      <c r="E132" s="9" t="s">
        <v>1722</v>
      </c>
      <c r="F132" s="8" t="s">
        <v>30</v>
      </c>
      <c r="G132" s="14"/>
      <c r="H132" s="10">
        <v>3.3749999999999996</v>
      </c>
      <c r="I132" s="8" t="s">
        <v>31</v>
      </c>
      <c r="J132" s="8" t="s">
        <v>1719</v>
      </c>
      <c r="K132" s="8" t="s">
        <v>33</v>
      </c>
      <c r="L132" s="8" t="s">
        <v>200</v>
      </c>
      <c r="M132" s="15" t="str">
        <f>HYPERLINK("http://slimages.macys.com/is/image/MCY/10181919 ")</f>
        <v xml:space="preserve">http://slimages.macys.com/is/image/MCY/10181919 </v>
      </c>
      <c r="N132" s="13"/>
    </row>
    <row r="133" spans="1:14" ht="60" x14ac:dyDescent="0.25">
      <c r="A133" s="14" t="s">
        <v>1723</v>
      </c>
      <c r="B133" s="8" t="s">
        <v>1724</v>
      </c>
      <c r="C133" s="9">
        <v>1</v>
      </c>
      <c r="D133" s="10">
        <v>22.99</v>
      </c>
      <c r="E133" s="9" t="s">
        <v>1725</v>
      </c>
      <c r="F133" s="8" t="s">
        <v>123</v>
      </c>
      <c r="G133" s="14"/>
      <c r="H133" s="10">
        <v>3.3749999999999996</v>
      </c>
      <c r="I133" s="8" t="s">
        <v>31</v>
      </c>
      <c r="J133" s="8" t="s">
        <v>1719</v>
      </c>
      <c r="K133" s="8" t="s">
        <v>33</v>
      </c>
      <c r="L133" s="8" t="s">
        <v>200</v>
      </c>
      <c r="M133" s="15" t="str">
        <f>HYPERLINK("http://slimages.macys.com/is/image/MCY/10181919 ")</f>
        <v xml:space="preserve">http://slimages.macys.com/is/image/MCY/10181919 </v>
      </c>
      <c r="N133" s="13"/>
    </row>
    <row r="134" spans="1:14" ht="48" x14ac:dyDescent="0.25">
      <c r="A134" s="14" t="s">
        <v>1749</v>
      </c>
      <c r="B134" s="8" t="s">
        <v>1750</v>
      </c>
      <c r="C134" s="9">
        <v>8</v>
      </c>
      <c r="D134" s="10">
        <v>16.989999999999998</v>
      </c>
      <c r="E134" s="9" t="s">
        <v>1751</v>
      </c>
      <c r="F134" s="8" t="s">
        <v>45</v>
      </c>
      <c r="G134" s="14"/>
      <c r="H134" s="10">
        <v>3.1808823529411758</v>
      </c>
      <c r="I134" s="8" t="s">
        <v>47</v>
      </c>
      <c r="J134" s="8" t="s">
        <v>1187</v>
      </c>
      <c r="K134" s="8" t="s">
        <v>33</v>
      </c>
      <c r="L134" s="8" t="s">
        <v>1188</v>
      </c>
      <c r="M134" s="15" t="str">
        <f>HYPERLINK("http://slimages.macys.com/is/image/MCY/16547156 ")</f>
        <v xml:space="preserve">http://slimages.macys.com/is/image/MCY/16547156 </v>
      </c>
      <c r="N134" s="13"/>
    </row>
    <row r="135" spans="1:14" ht="48" x14ac:dyDescent="0.25">
      <c r="A135" s="14" t="s">
        <v>1184</v>
      </c>
      <c r="B135" s="8" t="s">
        <v>1185</v>
      </c>
      <c r="C135" s="9">
        <v>1</v>
      </c>
      <c r="D135" s="10">
        <v>39.99</v>
      </c>
      <c r="E135" s="9" t="s">
        <v>1186</v>
      </c>
      <c r="F135" s="8" t="s">
        <v>123</v>
      </c>
      <c r="G135" s="14"/>
      <c r="H135" s="10">
        <v>7.7308823529411752</v>
      </c>
      <c r="I135" s="8" t="s">
        <v>47</v>
      </c>
      <c r="J135" s="8" t="s">
        <v>1187</v>
      </c>
      <c r="K135" s="8" t="s">
        <v>33</v>
      </c>
      <c r="L135" s="8" t="s">
        <v>1188</v>
      </c>
      <c r="M135" s="15" t="str">
        <f>HYPERLINK("http://slimages.macys.com/is/image/MCY/16547166 ")</f>
        <v xml:space="preserve">http://slimages.macys.com/is/image/MCY/16547166 </v>
      </c>
      <c r="N135" s="13"/>
    </row>
    <row r="136" spans="1:14" ht="36" x14ac:dyDescent="0.25">
      <c r="A136" s="14" t="s">
        <v>141</v>
      </c>
      <c r="B136" s="8" t="s">
        <v>142</v>
      </c>
      <c r="C136" s="9">
        <v>1</v>
      </c>
      <c r="D136" s="10">
        <v>139.99</v>
      </c>
      <c r="E136" s="9" t="s">
        <v>143</v>
      </c>
      <c r="F136" s="8" t="s">
        <v>45</v>
      </c>
      <c r="G136" s="14"/>
      <c r="H136" s="10">
        <v>33.100735294117648</v>
      </c>
      <c r="I136" s="8" t="s">
        <v>47</v>
      </c>
      <c r="J136" s="8" t="s">
        <v>137</v>
      </c>
      <c r="K136" s="8" t="s">
        <v>33</v>
      </c>
      <c r="L136" s="8" t="s">
        <v>144</v>
      </c>
      <c r="M136" s="15" t="str">
        <f>HYPERLINK("http://slimages.macys.com/is/image/MCY/8907453 ")</f>
        <v xml:space="preserve">http://slimages.macys.com/is/image/MCY/8907453 </v>
      </c>
      <c r="N136" s="13"/>
    </row>
    <row r="137" spans="1:14" ht="36" x14ac:dyDescent="0.25">
      <c r="A137" s="14" t="s">
        <v>134</v>
      </c>
      <c r="B137" s="8" t="s">
        <v>135</v>
      </c>
      <c r="C137" s="9">
        <v>1</v>
      </c>
      <c r="D137" s="10">
        <v>129.99</v>
      </c>
      <c r="E137" s="9" t="s">
        <v>136</v>
      </c>
      <c r="F137" s="8" t="s">
        <v>96</v>
      </c>
      <c r="G137" s="14"/>
      <c r="H137" s="10">
        <v>33.100735294117648</v>
      </c>
      <c r="I137" s="8" t="s">
        <v>47</v>
      </c>
      <c r="J137" s="8" t="s">
        <v>137</v>
      </c>
      <c r="K137" s="8" t="s">
        <v>33</v>
      </c>
      <c r="L137" s="8"/>
      <c r="M137" s="15" t="str">
        <f>HYPERLINK("http://slimages.macys.com/is/image/MCY/8907453 ")</f>
        <v xml:space="preserve">http://slimages.macys.com/is/image/MCY/8907453 </v>
      </c>
      <c r="N137" s="13"/>
    </row>
    <row r="138" spans="1:14" ht="36" x14ac:dyDescent="0.25">
      <c r="A138" s="14" t="s">
        <v>138</v>
      </c>
      <c r="B138" s="8" t="s">
        <v>139</v>
      </c>
      <c r="C138" s="9">
        <v>1</v>
      </c>
      <c r="D138" s="10">
        <v>129.99</v>
      </c>
      <c r="E138" s="9" t="s">
        <v>140</v>
      </c>
      <c r="F138" s="8" t="s">
        <v>45</v>
      </c>
      <c r="G138" s="14"/>
      <c r="H138" s="10">
        <v>33.100735294117648</v>
      </c>
      <c r="I138" s="8" t="s">
        <v>47</v>
      </c>
      <c r="J138" s="8" t="s">
        <v>137</v>
      </c>
      <c r="K138" s="8" t="s">
        <v>33</v>
      </c>
      <c r="L138" s="8"/>
      <c r="M138" s="15" t="str">
        <f>HYPERLINK("http://slimages.macys.com/is/image/MCY/8907453 ")</f>
        <v xml:space="preserve">http://slimages.macys.com/is/image/MCY/8907453 </v>
      </c>
      <c r="N138" s="13"/>
    </row>
    <row r="139" spans="1:14" ht="36" x14ac:dyDescent="0.25">
      <c r="A139" s="14" t="s">
        <v>262</v>
      </c>
      <c r="B139" s="8" t="s">
        <v>263</v>
      </c>
      <c r="C139" s="9">
        <v>1</v>
      </c>
      <c r="D139" s="10">
        <v>99.99</v>
      </c>
      <c r="E139" s="9" t="s">
        <v>264</v>
      </c>
      <c r="F139" s="8" t="s">
        <v>45</v>
      </c>
      <c r="G139" s="14" t="s">
        <v>46</v>
      </c>
      <c r="H139" s="10">
        <v>25.220588235294112</v>
      </c>
      <c r="I139" s="8" t="s">
        <v>47</v>
      </c>
      <c r="J139" s="8" t="s">
        <v>137</v>
      </c>
      <c r="K139" s="8" t="s">
        <v>33</v>
      </c>
      <c r="L139" s="8" t="s">
        <v>265</v>
      </c>
      <c r="M139" s="15" t="str">
        <f>HYPERLINK("http://slimages.macys.com/is/image/MCY/11339841 ")</f>
        <v xml:space="preserve">http://slimages.macys.com/is/image/MCY/11339841 </v>
      </c>
      <c r="N139" s="13"/>
    </row>
    <row r="140" spans="1:14" ht="36" x14ac:dyDescent="0.25">
      <c r="A140" s="14" t="s">
        <v>1317</v>
      </c>
      <c r="B140" s="8" t="s">
        <v>1318</v>
      </c>
      <c r="C140" s="9">
        <v>1</v>
      </c>
      <c r="D140" s="10">
        <v>24.99</v>
      </c>
      <c r="E140" s="9" t="s">
        <v>1319</v>
      </c>
      <c r="F140" s="8" t="s">
        <v>45</v>
      </c>
      <c r="G140" s="14" t="s">
        <v>1320</v>
      </c>
      <c r="H140" s="10">
        <v>6.7323529411764707</v>
      </c>
      <c r="I140" s="8" t="s">
        <v>47</v>
      </c>
      <c r="J140" s="8" t="s">
        <v>137</v>
      </c>
      <c r="K140" s="8" t="s">
        <v>33</v>
      </c>
      <c r="L140" s="8" t="s">
        <v>200</v>
      </c>
      <c r="M140" s="15" t="str">
        <f>HYPERLINK("http://slimages.macys.com/is/image/MCY/8501242 ")</f>
        <v xml:space="preserve">http://slimages.macys.com/is/image/MCY/8501242 </v>
      </c>
      <c r="N140" s="13"/>
    </row>
    <row r="141" spans="1:14" ht="36" x14ac:dyDescent="0.25">
      <c r="A141" s="14" t="s">
        <v>1167</v>
      </c>
      <c r="B141" s="8" t="s">
        <v>1168</v>
      </c>
      <c r="C141" s="9">
        <v>2</v>
      </c>
      <c r="D141" s="10">
        <v>26.99</v>
      </c>
      <c r="E141" s="9" t="s">
        <v>1169</v>
      </c>
      <c r="F141" s="8" t="s">
        <v>45</v>
      </c>
      <c r="G141" s="14"/>
      <c r="H141" s="10">
        <v>7.8544117647058824</v>
      </c>
      <c r="I141" s="8" t="s">
        <v>47</v>
      </c>
      <c r="J141" s="8" t="s">
        <v>137</v>
      </c>
      <c r="K141" s="8" t="s">
        <v>33</v>
      </c>
      <c r="L141" s="8"/>
      <c r="M141" s="15" t="str">
        <f>HYPERLINK("http://slimages.macys.com/is/image/MCY/8501242 ")</f>
        <v xml:space="preserve">http://slimages.macys.com/is/image/MCY/8501242 </v>
      </c>
      <c r="N141" s="13"/>
    </row>
    <row r="142" spans="1:14" ht="36" x14ac:dyDescent="0.25">
      <c r="A142" s="14" t="s">
        <v>1471</v>
      </c>
      <c r="B142" s="8" t="s">
        <v>1472</v>
      </c>
      <c r="C142" s="9">
        <v>1</v>
      </c>
      <c r="D142" s="10">
        <v>22.99</v>
      </c>
      <c r="E142" s="9" t="s">
        <v>1473</v>
      </c>
      <c r="F142" s="8" t="s">
        <v>45</v>
      </c>
      <c r="G142" s="14"/>
      <c r="H142" s="10">
        <v>5.7132352941176467</v>
      </c>
      <c r="I142" s="8" t="s">
        <v>47</v>
      </c>
      <c r="J142" s="8" t="s">
        <v>137</v>
      </c>
      <c r="K142" s="8" t="s">
        <v>33</v>
      </c>
      <c r="L142" s="8"/>
      <c r="M142" s="15" t="str">
        <f>HYPERLINK("http://slimages.macys.com/is/image/MCY/8501282 ")</f>
        <v xml:space="preserve">http://slimages.macys.com/is/image/MCY/8501282 </v>
      </c>
      <c r="N142" s="13"/>
    </row>
    <row r="143" spans="1:14" ht="36" x14ac:dyDescent="0.25">
      <c r="A143" s="14" t="s">
        <v>488</v>
      </c>
      <c r="B143" s="8" t="s">
        <v>489</v>
      </c>
      <c r="C143" s="9">
        <v>1</v>
      </c>
      <c r="D143" s="10">
        <v>69.989999999999995</v>
      </c>
      <c r="E143" s="9" t="s">
        <v>490</v>
      </c>
      <c r="F143" s="8" t="s">
        <v>426</v>
      </c>
      <c r="G143" s="14"/>
      <c r="H143" s="10">
        <v>18.014705882352938</v>
      </c>
      <c r="I143" s="8" t="s">
        <v>47</v>
      </c>
      <c r="J143" s="8" t="s">
        <v>137</v>
      </c>
      <c r="K143" s="8"/>
      <c r="L143" s="8"/>
      <c r="M143" s="15" t="str">
        <f>HYPERLINK("http://slimages.macys.com/is/image/MCY/17313971 ")</f>
        <v xml:space="preserve">http://slimages.macys.com/is/image/MCY/17313971 </v>
      </c>
      <c r="N143" s="13"/>
    </row>
    <row r="144" spans="1:14" ht="48" x14ac:dyDescent="0.25">
      <c r="A144" s="14" t="s">
        <v>226</v>
      </c>
      <c r="B144" s="8" t="s">
        <v>227</v>
      </c>
      <c r="C144" s="9">
        <v>1</v>
      </c>
      <c r="D144" s="10">
        <v>169.99</v>
      </c>
      <c r="E144" s="9" t="s">
        <v>228</v>
      </c>
      <c r="F144" s="8" t="s">
        <v>85</v>
      </c>
      <c r="G144" s="14"/>
      <c r="H144" s="10">
        <v>27.039705882352941</v>
      </c>
      <c r="I144" s="8" t="s">
        <v>229</v>
      </c>
      <c r="J144" s="8" t="s">
        <v>230</v>
      </c>
      <c r="K144" s="8" t="s">
        <v>33</v>
      </c>
      <c r="L144" s="8" t="s">
        <v>56</v>
      </c>
      <c r="M144" s="15" t="str">
        <f>HYPERLINK("http://slimages.macys.com/is/image/MCY/13832183 ")</f>
        <v xml:space="preserve">http://slimages.macys.com/is/image/MCY/13832183 </v>
      </c>
      <c r="N144" s="13"/>
    </row>
    <row r="145" spans="1:14" ht="48" x14ac:dyDescent="0.25">
      <c r="A145" s="14" t="s">
        <v>1604</v>
      </c>
      <c r="B145" s="8" t="s">
        <v>1605</v>
      </c>
      <c r="C145" s="9">
        <v>1</v>
      </c>
      <c r="D145" s="10">
        <v>149.99</v>
      </c>
      <c r="E145" s="9" t="s">
        <v>1606</v>
      </c>
      <c r="F145" s="8" t="s">
        <v>85</v>
      </c>
      <c r="G145" s="14" t="s">
        <v>1607</v>
      </c>
      <c r="H145" s="10">
        <v>4.4911764705882344</v>
      </c>
      <c r="I145" s="8" t="s">
        <v>229</v>
      </c>
      <c r="J145" s="8" t="s">
        <v>230</v>
      </c>
      <c r="K145" s="8" t="s">
        <v>33</v>
      </c>
      <c r="L145" s="8" t="s">
        <v>1608</v>
      </c>
      <c r="M145" s="15" t="str">
        <f>HYPERLINK("http://slimages.macys.com/is/image/MCY/10510982 ")</f>
        <v xml:space="preserve">http://slimages.macys.com/is/image/MCY/10510982 </v>
      </c>
      <c r="N145" s="13"/>
    </row>
    <row r="146" spans="1:14" ht="36" x14ac:dyDescent="0.25">
      <c r="A146" s="14" t="s">
        <v>1018</v>
      </c>
      <c r="B146" s="8" t="s">
        <v>1019</v>
      </c>
      <c r="C146" s="9">
        <v>1</v>
      </c>
      <c r="D146" s="10">
        <v>67.989999999999995</v>
      </c>
      <c r="E146" s="9" t="s">
        <v>1020</v>
      </c>
      <c r="F146" s="8" t="s">
        <v>114</v>
      </c>
      <c r="G146" s="14"/>
      <c r="H146" s="10">
        <v>9.4705882352941178</v>
      </c>
      <c r="I146" s="8" t="s">
        <v>47</v>
      </c>
      <c r="J146" s="8" t="s">
        <v>788</v>
      </c>
      <c r="K146" s="8" t="s">
        <v>33</v>
      </c>
      <c r="L146" s="8" t="s">
        <v>200</v>
      </c>
      <c r="M146" s="15" t="str">
        <f>HYPERLINK("http://slimages.macys.com/is/image/MCY/12888008 ")</f>
        <v xml:space="preserve">http://slimages.macys.com/is/image/MCY/12888008 </v>
      </c>
      <c r="N146" s="13"/>
    </row>
    <row r="147" spans="1:14" ht="36" x14ac:dyDescent="0.25">
      <c r="A147" s="14" t="s">
        <v>1015</v>
      </c>
      <c r="B147" s="8" t="s">
        <v>1016</v>
      </c>
      <c r="C147" s="9">
        <v>1</v>
      </c>
      <c r="D147" s="10">
        <v>67.989999999999995</v>
      </c>
      <c r="E147" s="9" t="s">
        <v>1017</v>
      </c>
      <c r="F147" s="8" t="s">
        <v>65</v>
      </c>
      <c r="G147" s="14"/>
      <c r="H147" s="10">
        <v>9.4705882352941178</v>
      </c>
      <c r="I147" s="8" t="s">
        <v>47</v>
      </c>
      <c r="J147" s="8" t="s">
        <v>788</v>
      </c>
      <c r="K147" s="8" t="s">
        <v>33</v>
      </c>
      <c r="L147" s="8" t="s">
        <v>200</v>
      </c>
      <c r="M147" s="15" t="str">
        <f>HYPERLINK("http://slimages.macys.com/is/image/MCY/12888008 ")</f>
        <v xml:space="preserve">http://slimages.macys.com/is/image/MCY/12888008 </v>
      </c>
      <c r="N147" s="13"/>
    </row>
    <row r="148" spans="1:14" ht="36" x14ac:dyDescent="0.25">
      <c r="A148" s="14" t="s">
        <v>785</v>
      </c>
      <c r="B148" s="8" t="s">
        <v>786</v>
      </c>
      <c r="C148" s="9">
        <v>1</v>
      </c>
      <c r="D148" s="10">
        <v>35.99</v>
      </c>
      <c r="E148" s="9" t="s">
        <v>787</v>
      </c>
      <c r="F148" s="8" t="s">
        <v>38</v>
      </c>
      <c r="G148" s="14"/>
      <c r="H148" s="10">
        <v>11.838235294117647</v>
      </c>
      <c r="I148" s="8" t="s">
        <v>47</v>
      </c>
      <c r="J148" s="8" t="s">
        <v>788</v>
      </c>
      <c r="K148" s="8" t="s">
        <v>33</v>
      </c>
      <c r="L148" s="8" t="s">
        <v>200</v>
      </c>
      <c r="M148" s="15" t="str">
        <f>HYPERLINK("http://slimages.macys.com/is/image/MCY/13063114 ")</f>
        <v xml:space="preserve">http://slimages.macys.com/is/image/MCY/13063114 </v>
      </c>
      <c r="N148" s="13"/>
    </row>
    <row r="149" spans="1:14" ht="48" x14ac:dyDescent="0.25">
      <c r="A149" s="14" t="s">
        <v>884</v>
      </c>
      <c r="B149" s="8" t="s">
        <v>885</v>
      </c>
      <c r="C149" s="9">
        <v>6</v>
      </c>
      <c r="D149" s="10">
        <v>57.99</v>
      </c>
      <c r="E149" s="9" t="s">
        <v>886</v>
      </c>
      <c r="F149" s="8" t="s">
        <v>355</v>
      </c>
      <c r="G149" s="14"/>
      <c r="H149" s="10">
        <v>10.808823529411763</v>
      </c>
      <c r="I149" s="8" t="s">
        <v>47</v>
      </c>
      <c r="J149" s="8" t="s">
        <v>647</v>
      </c>
      <c r="K149" s="8" t="s">
        <v>33</v>
      </c>
      <c r="L149" s="8" t="s">
        <v>49</v>
      </c>
      <c r="M149" s="15" t="str">
        <f>HYPERLINK("http://slimages.macys.com/is/image/MCY/11544404 ")</f>
        <v xml:space="preserve">http://slimages.macys.com/is/image/MCY/11544404 </v>
      </c>
      <c r="N149" s="13"/>
    </row>
    <row r="150" spans="1:14" ht="48" x14ac:dyDescent="0.25">
      <c r="A150" s="14" t="s">
        <v>1615</v>
      </c>
      <c r="B150" s="8" t="s">
        <v>1616</v>
      </c>
      <c r="C150" s="9">
        <v>1</v>
      </c>
      <c r="D150" s="10">
        <v>24.99</v>
      </c>
      <c r="E150" s="9" t="s">
        <v>1617</v>
      </c>
      <c r="F150" s="8" t="s">
        <v>635</v>
      </c>
      <c r="G150" s="14"/>
      <c r="H150" s="10">
        <v>4.375</v>
      </c>
      <c r="I150" s="8" t="s">
        <v>47</v>
      </c>
      <c r="J150" s="8" t="s">
        <v>647</v>
      </c>
      <c r="K150" s="8" t="s">
        <v>33</v>
      </c>
      <c r="L150" s="8" t="s">
        <v>1618</v>
      </c>
      <c r="M150" s="15" t="str">
        <f>HYPERLINK("http://slimages.macys.com/is/image/MCY/12242256 ")</f>
        <v xml:space="preserve">http://slimages.macys.com/is/image/MCY/12242256 </v>
      </c>
      <c r="N150" s="13"/>
    </row>
    <row r="151" spans="1:14" ht="48" x14ac:dyDescent="0.25">
      <c r="A151" s="14" t="s">
        <v>644</v>
      </c>
      <c r="B151" s="8" t="s">
        <v>645</v>
      </c>
      <c r="C151" s="9">
        <v>2</v>
      </c>
      <c r="D151" s="10">
        <v>77.989999999999995</v>
      </c>
      <c r="E151" s="9" t="s">
        <v>646</v>
      </c>
      <c r="F151" s="8"/>
      <c r="G151" s="14"/>
      <c r="H151" s="10">
        <v>13.63970588235294</v>
      </c>
      <c r="I151" s="8" t="s">
        <v>47</v>
      </c>
      <c r="J151" s="8" t="s">
        <v>647</v>
      </c>
      <c r="K151" s="8"/>
      <c r="L151" s="8"/>
      <c r="M151" s="15" t="str">
        <f>HYPERLINK("http://slimages.macys.com/is/image/MCY/18369885 ")</f>
        <v xml:space="preserve">http://slimages.macys.com/is/image/MCY/18369885 </v>
      </c>
      <c r="N151" s="13"/>
    </row>
    <row r="152" spans="1:14" ht="48" x14ac:dyDescent="0.25">
      <c r="A152" s="14" t="s">
        <v>1625</v>
      </c>
      <c r="B152" s="8" t="s">
        <v>1626</v>
      </c>
      <c r="C152" s="9">
        <v>1</v>
      </c>
      <c r="D152" s="10">
        <v>29.99</v>
      </c>
      <c r="E152" s="9" t="s">
        <v>1627</v>
      </c>
      <c r="F152" s="8" t="s">
        <v>65</v>
      </c>
      <c r="G152" s="14"/>
      <c r="H152" s="10">
        <v>4.2823529411764705</v>
      </c>
      <c r="I152" s="8" t="s">
        <v>47</v>
      </c>
      <c r="J152" s="8" t="s">
        <v>647</v>
      </c>
      <c r="K152" s="8" t="s">
        <v>33</v>
      </c>
      <c r="L152" s="8" t="s">
        <v>200</v>
      </c>
      <c r="M152" s="15" t="str">
        <f>HYPERLINK("http://slimages.macys.com/is/image/MCY/11543869 ")</f>
        <v xml:space="preserve">http://slimages.macys.com/is/image/MCY/11543869 </v>
      </c>
      <c r="N152" s="13"/>
    </row>
    <row r="153" spans="1:14" ht="48" x14ac:dyDescent="0.25">
      <c r="A153" s="14" t="s">
        <v>1106</v>
      </c>
      <c r="B153" s="8" t="s">
        <v>1107</v>
      </c>
      <c r="C153" s="9">
        <v>2</v>
      </c>
      <c r="D153" s="10">
        <v>58.99</v>
      </c>
      <c r="E153" s="9" t="s">
        <v>1108</v>
      </c>
      <c r="F153" s="8" t="s">
        <v>85</v>
      </c>
      <c r="G153" s="14"/>
      <c r="H153" s="10">
        <v>8.4411764705882355</v>
      </c>
      <c r="I153" s="8" t="s">
        <v>47</v>
      </c>
      <c r="J153" s="8" t="s">
        <v>647</v>
      </c>
      <c r="K153" s="8" t="s">
        <v>33</v>
      </c>
      <c r="L153" s="8" t="s">
        <v>49</v>
      </c>
      <c r="M153" s="15" t="str">
        <f>HYPERLINK("http://slimages.macys.com/is/image/MCY/11495246 ")</f>
        <v xml:space="preserve">http://slimages.macys.com/is/image/MCY/11495246 </v>
      </c>
      <c r="N153" s="13"/>
    </row>
    <row r="154" spans="1:14" ht="48" x14ac:dyDescent="0.25">
      <c r="A154" s="14" t="s">
        <v>940</v>
      </c>
      <c r="B154" s="8" t="s">
        <v>941</v>
      </c>
      <c r="C154" s="9">
        <v>6</v>
      </c>
      <c r="D154" s="10">
        <v>57.99</v>
      </c>
      <c r="E154" s="9" t="s">
        <v>942</v>
      </c>
      <c r="F154" s="8" t="s">
        <v>38</v>
      </c>
      <c r="G154" s="14"/>
      <c r="H154" s="10">
        <v>9.985294117647058</v>
      </c>
      <c r="I154" s="8" t="s">
        <v>47</v>
      </c>
      <c r="J154" s="8" t="s">
        <v>647</v>
      </c>
      <c r="K154" s="8" t="s">
        <v>33</v>
      </c>
      <c r="L154" s="8" t="s">
        <v>49</v>
      </c>
      <c r="M154" s="15" t="str">
        <f>HYPERLINK("http://slimages.macys.com/is/image/MCY/15862804 ")</f>
        <v xml:space="preserve">http://slimages.macys.com/is/image/MCY/15862804 </v>
      </c>
      <c r="N154" s="13"/>
    </row>
    <row r="155" spans="1:14" ht="48" x14ac:dyDescent="0.25">
      <c r="A155" s="14" t="s">
        <v>1601</v>
      </c>
      <c r="B155" s="8" t="s">
        <v>1602</v>
      </c>
      <c r="C155" s="9">
        <v>2</v>
      </c>
      <c r="D155" s="10">
        <v>25.99</v>
      </c>
      <c r="E155" s="9" t="s">
        <v>1603</v>
      </c>
      <c r="F155" s="8" t="s">
        <v>269</v>
      </c>
      <c r="G155" s="14"/>
      <c r="H155" s="10">
        <v>4.5036764705882346</v>
      </c>
      <c r="I155" s="8" t="s">
        <v>47</v>
      </c>
      <c r="J155" s="8" t="s">
        <v>647</v>
      </c>
      <c r="K155" s="8" t="s">
        <v>33</v>
      </c>
      <c r="L155" s="8" t="s">
        <v>200</v>
      </c>
      <c r="M155" s="15" t="str">
        <f>HYPERLINK("http://slimages.macys.com/is/image/MCY/11543494 ")</f>
        <v xml:space="preserve">http://slimages.macys.com/is/image/MCY/11543494 </v>
      </c>
      <c r="N155" s="13"/>
    </row>
    <row r="156" spans="1:14" ht="60" x14ac:dyDescent="0.25">
      <c r="A156" s="14" t="s">
        <v>1066</v>
      </c>
      <c r="B156" s="8" t="s">
        <v>1067</v>
      </c>
      <c r="C156" s="9">
        <v>2</v>
      </c>
      <c r="D156" s="10">
        <v>49.99</v>
      </c>
      <c r="E156" s="9" t="s">
        <v>1068</v>
      </c>
      <c r="F156" s="8" t="s">
        <v>1069</v>
      </c>
      <c r="G156" s="14"/>
      <c r="H156" s="10">
        <v>8.8235294117647047</v>
      </c>
      <c r="I156" s="8" t="s">
        <v>229</v>
      </c>
      <c r="J156" s="8" t="s">
        <v>1070</v>
      </c>
      <c r="K156" s="8" t="s">
        <v>33</v>
      </c>
      <c r="L156" s="8" t="s">
        <v>214</v>
      </c>
      <c r="M156" s="15" t="str">
        <f>HYPERLINK("http://slimages.macys.com/is/image/MCY/12896115 ")</f>
        <v xml:space="preserve">http://slimages.macys.com/is/image/MCY/12896115 </v>
      </c>
      <c r="N156" s="13"/>
    </row>
    <row r="157" spans="1:14" ht="48" x14ac:dyDescent="0.25">
      <c r="A157" s="14" t="s">
        <v>367</v>
      </c>
      <c r="B157" s="8" t="s">
        <v>368</v>
      </c>
      <c r="C157" s="9">
        <v>1</v>
      </c>
      <c r="D157" s="10">
        <v>94.99</v>
      </c>
      <c r="E157" s="9" t="s">
        <v>369</v>
      </c>
      <c r="F157" s="8" t="s">
        <v>30</v>
      </c>
      <c r="G157" s="14"/>
      <c r="H157" s="10">
        <v>22.058823529411764</v>
      </c>
      <c r="I157" s="8" t="s">
        <v>89</v>
      </c>
      <c r="J157" s="8" t="s">
        <v>370</v>
      </c>
      <c r="K157" s="8" t="s">
        <v>33</v>
      </c>
      <c r="L157" s="8" t="s">
        <v>214</v>
      </c>
      <c r="M157" s="15" t="str">
        <f>HYPERLINK("http://slimages.macys.com/is/image/MCY/13720329 ")</f>
        <v xml:space="preserve">http://slimages.macys.com/is/image/MCY/13720329 </v>
      </c>
      <c r="N157" s="13"/>
    </row>
    <row r="158" spans="1:14" ht="36" x14ac:dyDescent="0.25">
      <c r="A158" s="14" t="s">
        <v>708</v>
      </c>
      <c r="B158" s="8" t="s">
        <v>709</v>
      </c>
      <c r="C158" s="9">
        <v>2</v>
      </c>
      <c r="D158" s="10">
        <v>54.99</v>
      </c>
      <c r="E158" s="9" t="s">
        <v>710</v>
      </c>
      <c r="F158" s="8" t="s">
        <v>30</v>
      </c>
      <c r="G158" s="14"/>
      <c r="H158" s="10">
        <v>12.794117647058821</v>
      </c>
      <c r="I158" s="8" t="s">
        <v>31</v>
      </c>
      <c r="J158" s="8" t="s">
        <v>711</v>
      </c>
      <c r="K158" s="8" t="s">
        <v>33</v>
      </c>
      <c r="L158" s="8" t="s">
        <v>200</v>
      </c>
      <c r="M158" s="15" t="str">
        <f>HYPERLINK("http://slimages.macys.com/is/image/MCY/13720240 ")</f>
        <v xml:space="preserve">http://slimages.macys.com/is/image/MCY/13720240 </v>
      </c>
      <c r="N158" s="13"/>
    </row>
    <row r="159" spans="1:14" ht="36" x14ac:dyDescent="0.25">
      <c r="A159" s="14" t="s">
        <v>1278</v>
      </c>
      <c r="B159" s="8" t="s">
        <v>1279</v>
      </c>
      <c r="C159" s="9">
        <v>2</v>
      </c>
      <c r="D159" s="10">
        <v>37.99</v>
      </c>
      <c r="E159" s="9" t="s">
        <v>1280</v>
      </c>
      <c r="F159" s="8" t="s">
        <v>30</v>
      </c>
      <c r="G159" s="14" t="s">
        <v>998</v>
      </c>
      <c r="H159" s="10">
        <v>7.0154411764705884</v>
      </c>
      <c r="I159" s="8" t="s">
        <v>101</v>
      </c>
      <c r="J159" s="8" t="s">
        <v>591</v>
      </c>
      <c r="K159" s="8" t="s">
        <v>33</v>
      </c>
      <c r="L159" s="8" t="s">
        <v>49</v>
      </c>
      <c r="M159" s="15" t="str">
        <f>HYPERLINK("http://slimages.macys.com/is/image/MCY/11798731 ")</f>
        <v xml:space="preserve">http://slimages.macys.com/is/image/MCY/11798731 </v>
      </c>
      <c r="N159" s="13"/>
    </row>
    <row r="160" spans="1:14" ht="72" x14ac:dyDescent="0.25">
      <c r="A160" s="14" t="s">
        <v>652</v>
      </c>
      <c r="B160" s="8" t="s">
        <v>653</v>
      </c>
      <c r="C160" s="9">
        <v>2</v>
      </c>
      <c r="D160" s="10">
        <v>79.989999999999995</v>
      </c>
      <c r="E160" s="9" t="s">
        <v>654</v>
      </c>
      <c r="F160" s="8" t="s">
        <v>30</v>
      </c>
      <c r="G160" s="14" t="s">
        <v>655</v>
      </c>
      <c r="H160" s="10">
        <v>13.459558823529411</v>
      </c>
      <c r="I160" s="8" t="s">
        <v>101</v>
      </c>
      <c r="J160" s="8" t="s">
        <v>591</v>
      </c>
      <c r="K160" s="8" t="s">
        <v>592</v>
      </c>
      <c r="L160" s="8" t="s">
        <v>656</v>
      </c>
      <c r="M160" s="15" t="str">
        <f>HYPERLINK("http://slimages.macys.com/is/image/MCY/11798190 ")</f>
        <v xml:space="preserve">http://slimages.macys.com/is/image/MCY/11798190 </v>
      </c>
      <c r="N160" s="13"/>
    </row>
    <row r="161" spans="1:14" ht="60" x14ac:dyDescent="0.25">
      <c r="A161" s="14" t="s">
        <v>587</v>
      </c>
      <c r="B161" s="8" t="s">
        <v>588</v>
      </c>
      <c r="C161" s="9">
        <v>2</v>
      </c>
      <c r="D161" s="10">
        <v>90.99</v>
      </c>
      <c r="E161" s="9" t="s">
        <v>589</v>
      </c>
      <c r="F161" s="8" t="s">
        <v>30</v>
      </c>
      <c r="G161" s="14" t="s">
        <v>590</v>
      </c>
      <c r="H161" s="10">
        <v>16.352205882352941</v>
      </c>
      <c r="I161" s="8" t="s">
        <v>101</v>
      </c>
      <c r="J161" s="8" t="s">
        <v>591</v>
      </c>
      <c r="K161" s="8" t="s">
        <v>592</v>
      </c>
      <c r="L161" s="8" t="s">
        <v>593</v>
      </c>
      <c r="M161" s="15" t="str">
        <f>HYPERLINK("http://slimages.macys.com/is/image/MCY/11798940 ")</f>
        <v xml:space="preserve">http://slimages.macys.com/is/image/MCY/11798940 </v>
      </c>
      <c r="N161" s="13"/>
    </row>
    <row r="162" spans="1:14" ht="36" x14ac:dyDescent="0.25">
      <c r="A162" s="14" t="s">
        <v>995</v>
      </c>
      <c r="B162" s="8" t="s">
        <v>996</v>
      </c>
      <c r="C162" s="9">
        <v>1</v>
      </c>
      <c r="D162" s="10">
        <v>41.99</v>
      </c>
      <c r="E162" s="9" t="s">
        <v>997</v>
      </c>
      <c r="F162" s="8" t="s">
        <v>30</v>
      </c>
      <c r="G162" s="14" t="s">
        <v>998</v>
      </c>
      <c r="H162" s="10">
        <v>9.5941176470588232</v>
      </c>
      <c r="I162" s="8" t="s">
        <v>101</v>
      </c>
      <c r="J162" s="8" t="s">
        <v>591</v>
      </c>
      <c r="K162" s="8" t="s">
        <v>33</v>
      </c>
      <c r="L162" s="8" t="s">
        <v>49</v>
      </c>
      <c r="M162" s="15" t="str">
        <f>HYPERLINK("http://slimages.macys.com/is/image/MCY/11798747 ")</f>
        <v xml:space="preserve">http://slimages.macys.com/is/image/MCY/11798747 </v>
      </c>
      <c r="N162" s="13"/>
    </row>
    <row r="163" spans="1:14" ht="36" x14ac:dyDescent="0.25">
      <c r="A163" s="14" t="s">
        <v>964</v>
      </c>
      <c r="B163" s="8" t="s">
        <v>965</v>
      </c>
      <c r="C163" s="9">
        <v>1</v>
      </c>
      <c r="D163" s="10">
        <v>42.99</v>
      </c>
      <c r="E163" s="9" t="s">
        <v>966</v>
      </c>
      <c r="F163" s="8" t="s">
        <v>30</v>
      </c>
      <c r="G163" s="14"/>
      <c r="H163" s="10">
        <v>9.7588235294117638</v>
      </c>
      <c r="I163" s="8" t="s">
        <v>101</v>
      </c>
      <c r="J163" s="8" t="s">
        <v>591</v>
      </c>
      <c r="K163" s="8" t="s">
        <v>33</v>
      </c>
      <c r="L163" s="8" t="s">
        <v>49</v>
      </c>
      <c r="M163" s="15" t="str">
        <f>HYPERLINK("http://slimages.macys.com/is/image/MCY/11798788 ")</f>
        <v xml:space="preserve">http://slimages.macys.com/is/image/MCY/11798788 </v>
      </c>
      <c r="N163" s="13"/>
    </row>
    <row r="164" spans="1:14" ht="36" x14ac:dyDescent="0.25">
      <c r="A164" s="14" t="s">
        <v>964</v>
      </c>
      <c r="B164" s="8" t="s">
        <v>965</v>
      </c>
      <c r="C164" s="9">
        <v>1</v>
      </c>
      <c r="D164" s="10">
        <v>42.99</v>
      </c>
      <c r="E164" s="9" t="s">
        <v>966</v>
      </c>
      <c r="F164" s="8" t="s">
        <v>30</v>
      </c>
      <c r="G164" s="14"/>
      <c r="H164" s="10">
        <v>9.7588235294117638</v>
      </c>
      <c r="I164" s="8" t="s">
        <v>101</v>
      </c>
      <c r="J164" s="8" t="s">
        <v>591</v>
      </c>
      <c r="K164" s="8" t="s">
        <v>33</v>
      </c>
      <c r="L164" s="8" t="s">
        <v>49</v>
      </c>
      <c r="M164" s="15" t="str">
        <f>HYPERLINK("http://slimages.macys.com/is/image/MCY/11798788 ")</f>
        <v xml:space="preserve">http://slimages.macys.com/is/image/MCY/11798788 </v>
      </c>
      <c r="N164" s="13"/>
    </row>
    <row r="165" spans="1:14" ht="36" x14ac:dyDescent="0.25">
      <c r="A165" s="14" t="s">
        <v>1247</v>
      </c>
      <c r="B165" s="8" t="s">
        <v>1248</v>
      </c>
      <c r="C165" s="9">
        <v>2</v>
      </c>
      <c r="D165" s="10">
        <v>28.99</v>
      </c>
      <c r="E165" s="9">
        <v>17790</v>
      </c>
      <c r="F165" s="8" t="s">
        <v>123</v>
      </c>
      <c r="G165" s="14" t="s">
        <v>46</v>
      </c>
      <c r="H165" s="10">
        <v>7.4632352941176467</v>
      </c>
      <c r="I165" s="8" t="s">
        <v>47</v>
      </c>
      <c r="J165" s="8" t="s">
        <v>859</v>
      </c>
      <c r="K165" s="8" t="s">
        <v>33</v>
      </c>
      <c r="L165" s="8" t="s">
        <v>200</v>
      </c>
      <c r="M165" s="15" t="str">
        <f>HYPERLINK("http://slimages.macys.com/is/image/MCY/9316073 ")</f>
        <v xml:space="preserve">http://slimages.macys.com/is/image/MCY/9316073 </v>
      </c>
      <c r="N165" s="13"/>
    </row>
    <row r="166" spans="1:14" ht="36" x14ac:dyDescent="0.25">
      <c r="A166" s="14" t="s">
        <v>1242</v>
      </c>
      <c r="B166" s="8" t="s">
        <v>1243</v>
      </c>
      <c r="C166" s="9">
        <v>2</v>
      </c>
      <c r="D166" s="10">
        <v>29.99</v>
      </c>
      <c r="E166" s="9" t="s">
        <v>1244</v>
      </c>
      <c r="F166" s="8" t="s">
        <v>1245</v>
      </c>
      <c r="G166" s="14"/>
      <c r="H166" s="10">
        <v>7.4632352941176467</v>
      </c>
      <c r="I166" s="8" t="s">
        <v>47</v>
      </c>
      <c r="J166" s="8" t="s">
        <v>859</v>
      </c>
      <c r="K166" s="8" t="s">
        <v>33</v>
      </c>
      <c r="L166" s="8" t="s">
        <v>1246</v>
      </c>
      <c r="M166" s="15" t="str">
        <f>HYPERLINK("http://slimages.macys.com/is/image/MCY/9169530 ")</f>
        <v xml:space="preserve">http://slimages.macys.com/is/image/MCY/9169530 </v>
      </c>
      <c r="N166" s="13"/>
    </row>
    <row r="167" spans="1:14" ht="36" x14ac:dyDescent="0.25">
      <c r="A167" s="14" t="s">
        <v>856</v>
      </c>
      <c r="B167" s="8" t="s">
        <v>857</v>
      </c>
      <c r="C167" s="9">
        <v>4</v>
      </c>
      <c r="D167" s="10">
        <v>43.99</v>
      </c>
      <c r="E167" s="9" t="s">
        <v>858</v>
      </c>
      <c r="F167" s="8" t="s">
        <v>269</v>
      </c>
      <c r="G167" s="14" t="s">
        <v>46</v>
      </c>
      <c r="H167" s="10">
        <v>11.066176470588236</v>
      </c>
      <c r="I167" s="8" t="s">
        <v>47</v>
      </c>
      <c r="J167" s="8" t="s">
        <v>859</v>
      </c>
      <c r="K167" s="8" t="s">
        <v>33</v>
      </c>
      <c r="L167" s="8" t="s">
        <v>200</v>
      </c>
      <c r="M167" s="15" t="str">
        <f>HYPERLINK("http://slimages.macys.com/is/image/MCY/10636008 ")</f>
        <v xml:space="preserve">http://slimages.macys.com/is/image/MCY/10636008 </v>
      </c>
      <c r="N167" s="13"/>
    </row>
    <row r="168" spans="1:14" ht="48" x14ac:dyDescent="0.25">
      <c r="A168" s="14" t="s">
        <v>1273</v>
      </c>
      <c r="B168" s="8" t="s">
        <v>1274</v>
      </c>
      <c r="C168" s="9">
        <v>2</v>
      </c>
      <c r="D168" s="10">
        <v>29.99</v>
      </c>
      <c r="E168" s="9" t="s">
        <v>1275</v>
      </c>
      <c r="F168" s="8" t="s">
        <v>30</v>
      </c>
      <c r="G168" s="14" t="s">
        <v>655</v>
      </c>
      <c r="H168" s="10">
        <v>7.0463235294117643</v>
      </c>
      <c r="I168" s="8" t="s">
        <v>101</v>
      </c>
      <c r="J168" s="8" t="s">
        <v>1276</v>
      </c>
      <c r="K168" s="8" t="s">
        <v>33</v>
      </c>
      <c r="L168" s="8" t="s">
        <v>1277</v>
      </c>
      <c r="M168" s="15" t="str">
        <f>HYPERLINK("http://slimages.macys.com/is/image/MCY/11503237 ")</f>
        <v xml:space="preserve">http://slimages.macys.com/is/image/MCY/11503237 </v>
      </c>
      <c r="N168" s="13"/>
    </row>
    <row r="169" spans="1:14" ht="36" x14ac:dyDescent="0.25">
      <c r="A169" s="14" t="s">
        <v>1455</v>
      </c>
      <c r="B169" s="8" t="s">
        <v>1456</v>
      </c>
      <c r="C169" s="9">
        <v>1</v>
      </c>
      <c r="D169" s="10">
        <v>29.99</v>
      </c>
      <c r="E169" s="9" t="s">
        <v>1457</v>
      </c>
      <c r="F169" s="8" t="s">
        <v>173</v>
      </c>
      <c r="G169" s="14" t="s">
        <v>46</v>
      </c>
      <c r="H169" s="10">
        <v>5.8147058823529409</v>
      </c>
      <c r="I169" s="8" t="s">
        <v>31</v>
      </c>
      <c r="J169" s="8" t="s">
        <v>419</v>
      </c>
      <c r="K169" s="8" t="s">
        <v>33</v>
      </c>
      <c r="L169" s="8" t="s">
        <v>200</v>
      </c>
      <c r="M169" s="15" t="str">
        <f>HYPERLINK("http://slimages.macys.com/is/image/MCY/15945441 ")</f>
        <v xml:space="preserve">http://slimages.macys.com/is/image/MCY/15945441 </v>
      </c>
      <c r="N169" s="13"/>
    </row>
    <row r="170" spans="1:14" ht="48" x14ac:dyDescent="0.25">
      <c r="A170" s="14" t="s">
        <v>891</v>
      </c>
      <c r="B170" s="8" t="s">
        <v>892</v>
      </c>
      <c r="C170" s="9">
        <v>1</v>
      </c>
      <c r="D170" s="10">
        <v>45.99</v>
      </c>
      <c r="E170" s="9" t="s">
        <v>893</v>
      </c>
      <c r="F170" s="8" t="s">
        <v>894</v>
      </c>
      <c r="G170" s="14" t="s">
        <v>46</v>
      </c>
      <c r="H170" s="10">
        <v>10.654411764705882</v>
      </c>
      <c r="I170" s="8" t="s">
        <v>47</v>
      </c>
      <c r="J170" s="8" t="s">
        <v>48</v>
      </c>
      <c r="K170" s="8" t="s">
        <v>33</v>
      </c>
      <c r="L170" s="8" t="s">
        <v>49</v>
      </c>
      <c r="M170" s="15" t="str">
        <f>HYPERLINK("http://slimages.macys.com/is/image/MCY/13429094 ")</f>
        <v xml:space="preserve">http://slimages.macys.com/is/image/MCY/13429094 </v>
      </c>
      <c r="N170" s="13"/>
    </row>
    <row r="171" spans="1:14" ht="48" x14ac:dyDescent="0.25">
      <c r="A171" s="14" t="s">
        <v>806</v>
      </c>
      <c r="B171" s="8" t="s">
        <v>807</v>
      </c>
      <c r="C171" s="9">
        <v>1</v>
      </c>
      <c r="D171" s="10">
        <v>49.99</v>
      </c>
      <c r="E171" s="9" t="s">
        <v>808</v>
      </c>
      <c r="F171" s="8" t="s">
        <v>132</v>
      </c>
      <c r="G171" s="14" t="s">
        <v>46</v>
      </c>
      <c r="H171" s="10">
        <v>11.71985294117647</v>
      </c>
      <c r="I171" s="8" t="s">
        <v>47</v>
      </c>
      <c r="J171" s="8" t="s">
        <v>48</v>
      </c>
      <c r="K171" s="8" t="s">
        <v>33</v>
      </c>
      <c r="L171" s="8" t="s">
        <v>49</v>
      </c>
      <c r="M171" s="15" t="str">
        <f>HYPERLINK("http://slimages.macys.com/is/image/MCY/13428174 ")</f>
        <v xml:space="preserve">http://slimages.macys.com/is/image/MCY/13428174 </v>
      </c>
      <c r="N171" s="13"/>
    </row>
    <row r="172" spans="1:14" ht="48" x14ac:dyDescent="0.25">
      <c r="A172" s="14" t="s">
        <v>881</v>
      </c>
      <c r="B172" s="8" t="s">
        <v>882</v>
      </c>
      <c r="C172" s="9">
        <v>1</v>
      </c>
      <c r="D172" s="10">
        <v>62.99</v>
      </c>
      <c r="E172" s="9" t="s">
        <v>883</v>
      </c>
      <c r="F172" s="8" t="s">
        <v>114</v>
      </c>
      <c r="G172" s="14" t="s">
        <v>46</v>
      </c>
      <c r="H172" s="10">
        <v>10.988970588235293</v>
      </c>
      <c r="I172" s="8" t="s">
        <v>47</v>
      </c>
      <c r="J172" s="8" t="s">
        <v>48</v>
      </c>
      <c r="K172" s="8" t="s">
        <v>33</v>
      </c>
      <c r="L172" s="8" t="s">
        <v>56</v>
      </c>
      <c r="M172" s="15" t="str">
        <f>HYPERLINK("http://slimages.macys.com/is/image/MCY/13437816 ")</f>
        <v xml:space="preserve">http://slimages.macys.com/is/image/MCY/13437816 </v>
      </c>
      <c r="N172" s="13"/>
    </row>
    <row r="173" spans="1:14" ht="48" x14ac:dyDescent="0.25">
      <c r="A173" s="14" t="s">
        <v>621</v>
      </c>
      <c r="B173" s="8" t="s">
        <v>622</v>
      </c>
      <c r="C173" s="9">
        <v>1</v>
      </c>
      <c r="D173" s="10">
        <v>79.989999999999995</v>
      </c>
      <c r="E173" s="9" t="s">
        <v>623</v>
      </c>
      <c r="F173" s="8" t="s">
        <v>118</v>
      </c>
      <c r="G173" s="14" t="s">
        <v>46</v>
      </c>
      <c r="H173" s="10">
        <v>14.916176470588235</v>
      </c>
      <c r="I173" s="8" t="s">
        <v>47</v>
      </c>
      <c r="J173" s="8" t="s">
        <v>48</v>
      </c>
      <c r="K173" s="8" t="s">
        <v>33</v>
      </c>
      <c r="L173" s="8" t="s">
        <v>49</v>
      </c>
      <c r="M173" s="15" t="str">
        <f>HYPERLINK("http://slimages.macys.com/is/image/MCY/13432506 ")</f>
        <v xml:space="preserve">http://slimages.macys.com/is/image/MCY/13432506 </v>
      </c>
      <c r="N173" s="13"/>
    </row>
    <row r="174" spans="1:14" ht="48" x14ac:dyDescent="0.25">
      <c r="A174" s="14" t="s">
        <v>667</v>
      </c>
      <c r="B174" s="8" t="s">
        <v>668</v>
      </c>
      <c r="C174" s="9">
        <v>1</v>
      </c>
      <c r="D174" s="10">
        <v>63.99</v>
      </c>
      <c r="E174" s="9" t="s">
        <v>669</v>
      </c>
      <c r="F174" s="8" t="s">
        <v>85</v>
      </c>
      <c r="G174" s="14" t="s">
        <v>46</v>
      </c>
      <c r="H174" s="10">
        <v>13.315441176470589</v>
      </c>
      <c r="I174" s="8" t="s">
        <v>47</v>
      </c>
      <c r="J174" s="8" t="s">
        <v>48</v>
      </c>
      <c r="K174" s="8" t="s">
        <v>33</v>
      </c>
      <c r="L174" s="8" t="s">
        <v>56</v>
      </c>
      <c r="M174" s="15" t="str">
        <f>HYPERLINK("http://slimages.macys.com/is/image/MCY/13423490 ")</f>
        <v xml:space="preserve">http://slimages.macys.com/is/image/MCY/13423490 </v>
      </c>
      <c r="N174" s="13"/>
    </row>
    <row r="175" spans="1:14" ht="48" x14ac:dyDescent="0.25">
      <c r="A175" s="14" t="s">
        <v>455</v>
      </c>
      <c r="B175" s="8" t="s">
        <v>456</v>
      </c>
      <c r="C175" s="9">
        <v>2</v>
      </c>
      <c r="D175" s="10">
        <v>104.99</v>
      </c>
      <c r="E175" s="9" t="s">
        <v>457</v>
      </c>
      <c r="F175" s="8" t="s">
        <v>458</v>
      </c>
      <c r="G175" s="14" t="s">
        <v>46</v>
      </c>
      <c r="H175" s="10">
        <v>19.708088235294117</v>
      </c>
      <c r="I175" s="8" t="s">
        <v>47</v>
      </c>
      <c r="J175" s="8" t="s">
        <v>48</v>
      </c>
      <c r="K175" s="8" t="s">
        <v>33</v>
      </c>
      <c r="L175" s="8" t="s">
        <v>56</v>
      </c>
      <c r="M175" s="15" t="str">
        <f>HYPERLINK("http://slimages.macys.com/is/image/MCY/13419848 ")</f>
        <v xml:space="preserve">http://slimages.macys.com/is/image/MCY/13419848 </v>
      </c>
      <c r="N175" s="13"/>
    </row>
    <row r="176" spans="1:14" ht="48" x14ac:dyDescent="0.25">
      <c r="A176" s="14" t="s">
        <v>42</v>
      </c>
      <c r="B176" s="8" t="s">
        <v>43</v>
      </c>
      <c r="C176" s="9">
        <v>1</v>
      </c>
      <c r="D176" s="10">
        <v>236.99</v>
      </c>
      <c r="E176" s="9" t="s">
        <v>44</v>
      </c>
      <c r="F176" s="8" t="s">
        <v>45</v>
      </c>
      <c r="G176" s="14" t="s">
        <v>46</v>
      </c>
      <c r="H176" s="10">
        <v>49.540441176470587</v>
      </c>
      <c r="I176" s="8" t="s">
        <v>47</v>
      </c>
      <c r="J176" s="8" t="s">
        <v>48</v>
      </c>
      <c r="K176" s="8" t="s">
        <v>33</v>
      </c>
      <c r="L176" s="8" t="s">
        <v>49</v>
      </c>
      <c r="M176" s="15" t="str">
        <f>HYPERLINK("http://slimages.macys.com/is/image/MCY/13421478 ")</f>
        <v xml:space="preserve">http://slimages.macys.com/is/image/MCY/13421478 </v>
      </c>
      <c r="N176" s="13"/>
    </row>
    <row r="177" spans="1:14" ht="48" x14ac:dyDescent="0.25">
      <c r="A177" s="14" t="s">
        <v>742</v>
      </c>
      <c r="B177" s="8" t="s">
        <v>743</v>
      </c>
      <c r="C177" s="9">
        <v>2</v>
      </c>
      <c r="D177" s="10">
        <v>70.989999999999995</v>
      </c>
      <c r="E177" s="9" t="s">
        <v>744</v>
      </c>
      <c r="F177" s="8" t="s">
        <v>45</v>
      </c>
      <c r="G177" s="14" t="s">
        <v>46</v>
      </c>
      <c r="H177" s="10">
        <v>12.352941176470589</v>
      </c>
      <c r="I177" s="8" t="s">
        <v>47</v>
      </c>
      <c r="J177" s="8" t="s">
        <v>48</v>
      </c>
      <c r="K177" s="8" t="s">
        <v>33</v>
      </c>
      <c r="L177" s="8" t="s">
        <v>56</v>
      </c>
      <c r="M177" s="15" t="str">
        <f>HYPERLINK("http://slimages.macys.com/is/image/MCY/13422914 ")</f>
        <v xml:space="preserve">http://slimages.macys.com/is/image/MCY/13422914 </v>
      </c>
      <c r="N177" s="13"/>
    </row>
    <row r="178" spans="1:14" ht="48" x14ac:dyDescent="0.25">
      <c r="A178" s="14" t="s">
        <v>701</v>
      </c>
      <c r="B178" s="8" t="s">
        <v>702</v>
      </c>
      <c r="C178" s="9">
        <v>2</v>
      </c>
      <c r="D178" s="10">
        <v>73.989999999999995</v>
      </c>
      <c r="E178" s="9" t="s">
        <v>703</v>
      </c>
      <c r="F178" s="8" t="s">
        <v>45</v>
      </c>
      <c r="G178" s="14" t="s">
        <v>46</v>
      </c>
      <c r="H178" s="10">
        <v>12.867647058823529</v>
      </c>
      <c r="I178" s="8" t="s">
        <v>47</v>
      </c>
      <c r="J178" s="8" t="s">
        <v>48</v>
      </c>
      <c r="K178" s="8" t="s">
        <v>33</v>
      </c>
      <c r="L178" s="8" t="s">
        <v>56</v>
      </c>
      <c r="M178" s="15" t="str">
        <f>HYPERLINK("http://slimages.macys.com/is/image/MCY/13422908 ")</f>
        <v xml:space="preserve">http://slimages.macys.com/is/image/MCY/13422908 </v>
      </c>
      <c r="N178" s="13"/>
    </row>
    <row r="179" spans="1:14" ht="48" x14ac:dyDescent="0.25">
      <c r="A179" s="14" t="s">
        <v>716</v>
      </c>
      <c r="B179" s="8" t="s">
        <v>717</v>
      </c>
      <c r="C179" s="9">
        <v>1</v>
      </c>
      <c r="D179" s="10">
        <v>55.99</v>
      </c>
      <c r="E179" s="9" t="s">
        <v>718</v>
      </c>
      <c r="F179" s="8" t="s">
        <v>45</v>
      </c>
      <c r="G179" s="14" t="s">
        <v>46</v>
      </c>
      <c r="H179" s="10">
        <v>12.785294117647059</v>
      </c>
      <c r="I179" s="8" t="s">
        <v>47</v>
      </c>
      <c r="J179" s="8" t="s">
        <v>48</v>
      </c>
      <c r="K179" s="8" t="s">
        <v>33</v>
      </c>
      <c r="L179" s="8" t="s">
        <v>49</v>
      </c>
      <c r="M179" s="15" t="str">
        <f>HYPERLINK("http://slimages.macys.com/is/image/MCY/13426627 ")</f>
        <v xml:space="preserve">http://slimages.macys.com/is/image/MCY/13426627 </v>
      </c>
      <c r="N179" s="13"/>
    </row>
    <row r="180" spans="1:14" ht="48" x14ac:dyDescent="0.25">
      <c r="A180" s="14" t="s">
        <v>477</v>
      </c>
      <c r="B180" s="8" t="s">
        <v>478</v>
      </c>
      <c r="C180" s="9">
        <v>1</v>
      </c>
      <c r="D180" s="10">
        <v>107.99</v>
      </c>
      <c r="E180" s="9" t="s">
        <v>479</v>
      </c>
      <c r="F180" s="8" t="s">
        <v>123</v>
      </c>
      <c r="G180" s="14"/>
      <c r="H180" s="10">
        <v>18.96691176470588</v>
      </c>
      <c r="I180" s="8" t="s">
        <v>47</v>
      </c>
      <c r="J180" s="8" t="s">
        <v>480</v>
      </c>
      <c r="K180" s="8" t="s">
        <v>33</v>
      </c>
      <c r="L180" s="8" t="s">
        <v>200</v>
      </c>
      <c r="M180" s="15" t="str">
        <f>HYPERLINK("http://slimages.macys.com/is/image/MCY/14343198 ")</f>
        <v xml:space="preserve">http://slimages.macys.com/is/image/MCY/14343198 </v>
      </c>
      <c r="N180" s="13"/>
    </row>
    <row r="181" spans="1:14" ht="48" x14ac:dyDescent="0.25">
      <c r="A181" s="14" t="s">
        <v>560</v>
      </c>
      <c r="B181" s="8" t="s">
        <v>561</v>
      </c>
      <c r="C181" s="9">
        <v>2</v>
      </c>
      <c r="D181" s="10">
        <v>95.99</v>
      </c>
      <c r="E181" s="9" t="s">
        <v>562</v>
      </c>
      <c r="F181" s="8" t="s">
        <v>30</v>
      </c>
      <c r="G181" s="14"/>
      <c r="H181" s="10">
        <v>16.727941176470587</v>
      </c>
      <c r="I181" s="8" t="s">
        <v>47</v>
      </c>
      <c r="J181" s="8" t="s">
        <v>480</v>
      </c>
      <c r="K181" s="8" t="s">
        <v>33</v>
      </c>
      <c r="L181" s="8" t="s">
        <v>200</v>
      </c>
      <c r="M181" s="15" t="str">
        <f>HYPERLINK("http://slimages.macys.com/is/image/MCY/13763030 ")</f>
        <v xml:space="preserve">http://slimages.macys.com/is/image/MCY/13763030 </v>
      </c>
      <c r="N181" s="13"/>
    </row>
    <row r="182" spans="1:14" ht="36" x14ac:dyDescent="0.25">
      <c r="A182" s="14" t="s">
        <v>552</v>
      </c>
      <c r="B182" s="8" t="s">
        <v>553</v>
      </c>
      <c r="C182" s="9">
        <v>1</v>
      </c>
      <c r="D182" s="10">
        <v>59.99</v>
      </c>
      <c r="E182" s="9" t="s">
        <v>554</v>
      </c>
      <c r="F182" s="8" t="s">
        <v>85</v>
      </c>
      <c r="G182" s="14"/>
      <c r="H182" s="10">
        <v>16.742647058823529</v>
      </c>
      <c r="I182" s="8" t="s">
        <v>555</v>
      </c>
      <c r="J182" s="8" t="s">
        <v>556</v>
      </c>
      <c r="K182" s="8" t="s">
        <v>33</v>
      </c>
      <c r="L182" s="8"/>
      <c r="M182" s="15" t="str">
        <f>HYPERLINK("http://slimages.macys.com/is/image/MCY/8433247 ")</f>
        <v xml:space="preserve">http://slimages.macys.com/is/image/MCY/8433247 </v>
      </c>
      <c r="N182" s="13"/>
    </row>
    <row r="183" spans="1:14" ht="36" x14ac:dyDescent="0.25">
      <c r="A183" s="14" t="s">
        <v>557</v>
      </c>
      <c r="B183" s="8" t="s">
        <v>558</v>
      </c>
      <c r="C183" s="9">
        <v>1</v>
      </c>
      <c r="D183" s="10">
        <v>59.99</v>
      </c>
      <c r="E183" s="9" t="s">
        <v>559</v>
      </c>
      <c r="F183" s="8" t="s">
        <v>217</v>
      </c>
      <c r="G183" s="14"/>
      <c r="H183" s="10">
        <v>16.742647058823529</v>
      </c>
      <c r="I183" s="8" t="s">
        <v>555</v>
      </c>
      <c r="J183" s="8" t="s">
        <v>556</v>
      </c>
      <c r="K183" s="8" t="s">
        <v>33</v>
      </c>
      <c r="L183" s="8"/>
      <c r="M183" s="15" t="str">
        <f>HYPERLINK("http://slimages.macys.com/is/image/MCY/8433247 ")</f>
        <v xml:space="preserve">http://slimages.macys.com/is/image/MCY/8433247 </v>
      </c>
      <c r="N183" s="13"/>
    </row>
    <row r="184" spans="1:14" ht="36" x14ac:dyDescent="0.25">
      <c r="A184" s="14" t="s">
        <v>1025</v>
      </c>
      <c r="B184" s="8" t="s">
        <v>1026</v>
      </c>
      <c r="C184" s="9">
        <v>1</v>
      </c>
      <c r="D184" s="10">
        <v>49.99</v>
      </c>
      <c r="E184" s="9" t="s">
        <v>1027</v>
      </c>
      <c r="F184" s="8" t="s">
        <v>469</v>
      </c>
      <c r="G184" s="14"/>
      <c r="H184" s="10">
        <v>9.2823529411764696</v>
      </c>
      <c r="I184" s="8" t="s">
        <v>31</v>
      </c>
      <c r="J184" s="8" t="s">
        <v>1028</v>
      </c>
      <c r="K184" s="8" t="s">
        <v>566</v>
      </c>
      <c r="L184" s="8" t="s">
        <v>1029</v>
      </c>
      <c r="M184" s="15" t="str">
        <f>HYPERLINK("http://slimages.macys.com/is/image/MCY/12953897 ")</f>
        <v xml:space="preserve">http://slimages.macys.com/is/image/MCY/12953897 </v>
      </c>
      <c r="N184" s="13"/>
    </row>
    <row r="185" spans="1:14" ht="36" x14ac:dyDescent="0.25">
      <c r="A185" s="14" t="s">
        <v>935</v>
      </c>
      <c r="B185" s="8" t="s">
        <v>936</v>
      </c>
      <c r="C185" s="9">
        <v>1</v>
      </c>
      <c r="D185" s="10">
        <v>48.99</v>
      </c>
      <c r="E185" s="9" t="s">
        <v>937</v>
      </c>
      <c r="F185" s="8" t="s">
        <v>30</v>
      </c>
      <c r="G185" s="14"/>
      <c r="H185" s="10">
        <v>10.036764705882353</v>
      </c>
      <c r="I185" s="8" t="s">
        <v>101</v>
      </c>
      <c r="J185" s="8" t="s">
        <v>938</v>
      </c>
      <c r="K185" s="8" t="s">
        <v>33</v>
      </c>
      <c r="L185" s="8" t="s">
        <v>939</v>
      </c>
      <c r="M185" s="15" t="str">
        <f>HYPERLINK("http://slimages.macys.com/is/image/MCY/15720048 ")</f>
        <v xml:space="preserve">http://slimages.macys.com/is/image/MCY/15720048 </v>
      </c>
      <c r="N185" s="13"/>
    </row>
    <row r="186" spans="1:14" ht="36" x14ac:dyDescent="0.25">
      <c r="A186" s="14" t="s">
        <v>1051</v>
      </c>
      <c r="B186" s="8" t="s">
        <v>1052</v>
      </c>
      <c r="C186" s="9">
        <v>1</v>
      </c>
      <c r="D186" s="10">
        <v>43.99</v>
      </c>
      <c r="E186" s="9" t="s">
        <v>1053</v>
      </c>
      <c r="F186" s="8" t="s">
        <v>30</v>
      </c>
      <c r="G186" s="14"/>
      <c r="H186" s="10">
        <v>9.0073529411764692</v>
      </c>
      <c r="I186" s="8" t="s">
        <v>101</v>
      </c>
      <c r="J186" s="8" t="s">
        <v>938</v>
      </c>
      <c r="K186" s="8" t="s">
        <v>33</v>
      </c>
      <c r="L186" s="8" t="s">
        <v>939</v>
      </c>
      <c r="M186" s="15" t="str">
        <f>HYPERLINK("http://slimages.macys.com/is/image/MCY/15720047 ")</f>
        <v xml:space="preserve">http://slimages.macys.com/is/image/MCY/15720047 </v>
      </c>
      <c r="N186" s="13"/>
    </row>
    <row r="187" spans="1:14" ht="48" x14ac:dyDescent="0.25">
      <c r="A187" s="14" t="s">
        <v>1098</v>
      </c>
      <c r="B187" s="8" t="s">
        <v>1099</v>
      </c>
      <c r="C187" s="9">
        <v>1</v>
      </c>
      <c r="D187" s="10">
        <v>39.99</v>
      </c>
      <c r="E187" s="9" t="s">
        <v>1100</v>
      </c>
      <c r="F187" s="8"/>
      <c r="G187" s="14"/>
      <c r="H187" s="10">
        <v>8.5632352941176464</v>
      </c>
      <c r="I187" s="8" t="s">
        <v>31</v>
      </c>
      <c r="J187" s="8" t="s">
        <v>1101</v>
      </c>
      <c r="K187" s="8" t="s">
        <v>33</v>
      </c>
      <c r="L187" s="8" t="s">
        <v>200</v>
      </c>
      <c r="M187" s="15" t="str">
        <f>HYPERLINK("http://slimages.macys.com/is/image/MCY/12325647 ")</f>
        <v xml:space="preserve">http://slimages.macys.com/is/image/MCY/12325647 </v>
      </c>
      <c r="N187" s="13"/>
    </row>
    <row r="188" spans="1:14" ht="36" x14ac:dyDescent="0.25">
      <c r="A188" s="14" t="s">
        <v>802</v>
      </c>
      <c r="B188" s="8" t="s">
        <v>803</v>
      </c>
      <c r="C188" s="9">
        <v>1</v>
      </c>
      <c r="D188" s="10">
        <v>49.99</v>
      </c>
      <c r="E188" s="9" t="s">
        <v>804</v>
      </c>
      <c r="F188" s="8" t="s">
        <v>30</v>
      </c>
      <c r="G188" s="14"/>
      <c r="H188" s="10">
        <v>11.726470588235294</v>
      </c>
      <c r="I188" s="8" t="s">
        <v>555</v>
      </c>
      <c r="J188" s="8" t="s">
        <v>805</v>
      </c>
      <c r="K188" s="8"/>
      <c r="L188" s="8"/>
      <c r="M188" s="15" t="str">
        <f>HYPERLINK("http://slimages.macys.com/is/image/MCY/18222689 ")</f>
        <v xml:space="preserve">http://slimages.macys.com/is/image/MCY/18222689 </v>
      </c>
      <c r="N188" s="13"/>
    </row>
    <row r="189" spans="1:14" ht="36" x14ac:dyDescent="0.25">
      <c r="A189" s="14" t="s">
        <v>802</v>
      </c>
      <c r="B189" s="8" t="s">
        <v>803</v>
      </c>
      <c r="C189" s="9">
        <v>1</v>
      </c>
      <c r="D189" s="10">
        <v>49.99</v>
      </c>
      <c r="E189" s="9" t="s">
        <v>804</v>
      </c>
      <c r="F189" s="8" t="s">
        <v>30</v>
      </c>
      <c r="G189" s="14"/>
      <c r="H189" s="10">
        <v>11.726470588235294</v>
      </c>
      <c r="I189" s="8" t="s">
        <v>555</v>
      </c>
      <c r="J189" s="8" t="s">
        <v>805</v>
      </c>
      <c r="K189" s="8"/>
      <c r="L189" s="8"/>
      <c r="M189" s="15" t="str">
        <f>HYPERLINK("http://slimages.macys.com/is/image/MCY/18222689 ")</f>
        <v xml:space="preserve">http://slimages.macys.com/is/image/MCY/18222689 </v>
      </c>
      <c r="N189" s="13"/>
    </row>
    <row r="190" spans="1:14" ht="36" x14ac:dyDescent="0.25">
      <c r="A190" s="14" t="s">
        <v>850</v>
      </c>
      <c r="B190" s="8" t="s">
        <v>851</v>
      </c>
      <c r="C190" s="9">
        <v>2</v>
      </c>
      <c r="D190" s="10">
        <v>63.99</v>
      </c>
      <c r="E190" s="9" t="s">
        <v>852</v>
      </c>
      <c r="F190" s="8" t="s">
        <v>853</v>
      </c>
      <c r="G190" s="14" t="s">
        <v>854</v>
      </c>
      <c r="H190" s="10">
        <v>11.133088235294117</v>
      </c>
      <c r="I190" s="8" t="s">
        <v>47</v>
      </c>
      <c r="J190" s="8" t="s">
        <v>855</v>
      </c>
      <c r="K190" s="8" t="s">
        <v>33</v>
      </c>
      <c r="L190" s="8" t="s">
        <v>49</v>
      </c>
      <c r="M190" s="15" t="str">
        <f>HYPERLINK("http://slimages.macys.com/is/image/MCY/11705081 ")</f>
        <v xml:space="preserve">http://slimages.macys.com/is/image/MCY/11705081 </v>
      </c>
      <c r="N190" s="13"/>
    </row>
    <row r="191" spans="1:14" ht="36" x14ac:dyDescent="0.25">
      <c r="A191" s="14" t="s">
        <v>1374</v>
      </c>
      <c r="B191" s="8" t="s">
        <v>1375</v>
      </c>
      <c r="C191" s="9">
        <v>3</v>
      </c>
      <c r="D191" s="10">
        <v>34.99</v>
      </c>
      <c r="E191" s="9" t="s">
        <v>1376</v>
      </c>
      <c r="F191" s="8" t="s">
        <v>707</v>
      </c>
      <c r="G191" s="14"/>
      <c r="H191" s="10">
        <v>6.1764705882352944</v>
      </c>
      <c r="I191" s="8" t="s">
        <v>47</v>
      </c>
      <c r="J191" s="8" t="s">
        <v>1324</v>
      </c>
      <c r="K191" s="8" t="s">
        <v>33</v>
      </c>
      <c r="L191" s="8" t="s">
        <v>200</v>
      </c>
      <c r="M191" s="15" t="str">
        <f>HYPERLINK("http://slimages.macys.com/is/image/MCY/14868536 ")</f>
        <v xml:space="preserve">http://slimages.macys.com/is/image/MCY/14868536 </v>
      </c>
      <c r="N191" s="13"/>
    </row>
    <row r="192" spans="1:14" ht="36" x14ac:dyDescent="0.25">
      <c r="A192" s="14" t="s">
        <v>1325</v>
      </c>
      <c r="B192" s="8" t="s">
        <v>1326</v>
      </c>
      <c r="C192" s="9">
        <v>3</v>
      </c>
      <c r="D192" s="10">
        <v>37.99</v>
      </c>
      <c r="E192" s="9" t="s">
        <v>1327</v>
      </c>
      <c r="F192" s="8" t="s">
        <v>707</v>
      </c>
      <c r="G192" s="14"/>
      <c r="H192" s="10">
        <v>6.6911764705882346</v>
      </c>
      <c r="I192" s="8" t="s">
        <v>47</v>
      </c>
      <c r="J192" s="8" t="s">
        <v>1324</v>
      </c>
      <c r="K192" s="8" t="s">
        <v>33</v>
      </c>
      <c r="L192" s="8" t="s">
        <v>200</v>
      </c>
      <c r="M192" s="15" t="str">
        <f>HYPERLINK("http://slimages.macys.com/is/image/MCY/15049330 ")</f>
        <v xml:space="preserve">http://slimages.macys.com/is/image/MCY/15049330 </v>
      </c>
      <c r="N192" s="13"/>
    </row>
    <row r="193" spans="1:14" ht="36" x14ac:dyDescent="0.25">
      <c r="A193" s="14" t="s">
        <v>1321</v>
      </c>
      <c r="B193" s="8" t="s">
        <v>1322</v>
      </c>
      <c r="C193" s="9">
        <v>3</v>
      </c>
      <c r="D193" s="10">
        <v>37.99</v>
      </c>
      <c r="E193" s="9" t="s">
        <v>1323</v>
      </c>
      <c r="F193" s="8" t="s">
        <v>123</v>
      </c>
      <c r="G193" s="14"/>
      <c r="H193" s="10">
        <v>6.6911764705882346</v>
      </c>
      <c r="I193" s="8" t="s">
        <v>47</v>
      </c>
      <c r="J193" s="8" t="s">
        <v>1324</v>
      </c>
      <c r="K193" s="8" t="s">
        <v>33</v>
      </c>
      <c r="L193" s="8" t="s">
        <v>200</v>
      </c>
      <c r="M193" s="15" t="str">
        <f>HYPERLINK("http://slimages.macys.com/is/image/MCY/15049330 ")</f>
        <v xml:space="preserve">http://slimages.macys.com/is/image/MCY/15049330 </v>
      </c>
      <c r="N193" s="13"/>
    </row>
    <row r="194" spans="1:14" ht="48" x14ac:dyDescent="0.25">
      <c r="A194" s="14" t="s">
        <v>766</v>
      </c>
      <c r="B194" s="8" t="s">
        <v>767</v>
      </c>
      <c r="C194" s="9">
        <v>6</v>
      </c>
      <c r="D194" s="10">
        <v>69.989999999999995</v>
      </c>
      <c r="E194" s="9" t="s">
        <v>768</v>
      </c>
      <c r="F194" s="8" t="s">
        <v>118</v>
      </c>
      <c r="G194" s="14"/>
      <c r="H194" s="10">
        <v>12.038970588235294</v>
      </c>
      <c r="I194" s="8" t="s">
        <v>47</v>
      </c>
      <c r="J194" s="8" t="s">
        <v>270</v>
      </c>
      <c r="K194" s="8"/>
      <c r="L194" s="8"/>
      <c r="M194" s="15" t="str">
        <f>HYPERLINK("http://slimages.macys.com/is/image/MCY/18112100 ")</f>
        <v xml:space="preserve">http://slimages.macys.com/is/image/MCY/18112100 </v>
      </c>
      <c r="N194" s="13"/>
    </row>
    <row r="195" spans="1:14" ht="36" x14ac:dyDescent="0.25">
      <c r="A195" s="14" t="s">
        <v>1048</v>
      </c>
      <c r="B195" s="8" t="s">
        <v>1049</v>
      </c>
      <c r="C195" s="9">
        <v>1</v>
      </c>
      <c r="D195" s="10">
        <v>69.989999999999995</v>
      </c>
      <c r="E195" s="9" t="s">
        <v>1050</v>
      </c>
      <c r="F195" s="8" t="s">
        <v>651</v>
      </c>
      <c r="G195" s="14"/>
      <c r="H195" s="10">
        <v>9.0176470588235276</v>
      </c>
      <c r="I195" s="8" t="s">
        <v>752</v>
      </c>
      <c r="J195" s="8" t="s">
        <v>753</v>
      </c>
      <c r="K195" s="8" t="s">
        <v>33</v>
      </c>
      <c r="L195" s="8" t="s">
        <v>200</v>
      </c>
      <c r="M195" s="15" t="str">
        <f>HYPERLINK("http://slimages.macys.com/is/image/MCY/12898917 ")</f>
        <v xml:space="preserve">http://slimages.macys.com/is/image/MCY/12898917 </v>
      </c>
      <c r="N195" s="13"/>
    </row>
    <row r="196" spans="1:14" ht="36" x14ac:dyDescent="0.25">
      <c r="A196" s="14" t="s">
        <v>1009</v>
      </c>
      <c r="B196" s="8" t="s">
        <v>1010</v>
      </c>
      <c r="C196" s="9">
        <v>1</v>
      </c>
      <c r="D196" s="10">
        <v>89.99</v>
      </c>
      <c r="E196" s="9" t="s">
        <v>1011</v>
      </c>
      <c r="F196" s="8" t="s">
        <v>30</v>
      </c>
      <c r="G196" s="14"/>
      <c r="H196" s="10">
        <v>9.5117647058823529</v>
      </c>
      <c r="I196" s="8" t="s">
        <v>752</v>
      </c>
      <c r="J196" s="8" t="s">
        <v>753</v>
      </c>
      <c r="K196" s="8" t="s">
        <v>33</v>
      </c>
      <c r="L196" s="8" t="s">
        <v>200</v>
      </c>
      <c r="M196" s="15" t="str">
        <f>HYPERLINK("http://slimages.macys.com/is/image/MCY/15884859 ")</f>
        <v xml:space="preserve">http://slimages.macys.com/is/image/MCY/15884859 </v>
      </c>
      <c r="N196" s="13"/>
    </row>
    <row r="197" spans="1:14" ht="36" x14ac:dyDescent="0.25">
      <c r="A197" s="14" t="s">
        <v>1012</v>
      </c>
      <c r="B197" s="8" t="s">
        <v>1013</v>
      </c>
      <c r="C197" s="9">
        <v>2</v>
      </c>
      <c r="D197" s="10">
        <v>89.99</v>
      </c>
      <c r="E197" s="9" t="s">
        <v>1014</v>
      </c>
      <c r="F197" s="8" t="s">
        <v>30</v>
      </c>
      <c r="G197" s="14"/>
      <c r="H197" s="10">
        <v>9.5117647058823529</v>
      </c>
      <c r="I197" s="8" t="s">
        <v>752</v>
      </c>
      <c r="J197" s="8" t="s">
        <v>753</v>
      </c>
      <c r="K197" s="8" t="s">
        <v>33</v>
      </c>
      <c r="L197" s="8" t="s">
        <v>200</v>
      </c>
      <c r="M197" s="15" t="str">
        <f>HYPERLINK("http://slimages.macys.com/is/image/MCY/15869924 ")</f>
        <v xml:space="preserve">http://slimages.macys.com/is/image/MCY/15869924 </v>
      </c>
      <c r="N197" s="13"/>
    </row>
    <row r="198" spans="1:14" ht="48" x14ac:dyDescent="0.25">
      <c r="A198" s="14" t="s">
        <v>798</v>
      </c>
      <c r="B198" s="8" t="s">
        <v>799</v>
      </c>
      <c r="C198" s="9">
        <v>1</v>
      </c>
      <c r="D198" s="10">
        <v>89.99</v>
      </c>
      <c r="E198" s="9">
        <v>10006538200</v>
      </c>
      <c r="F198" s="8" t="s">
        <v>795</v>
      </c>
      <c r="G198" s="14" t="s">
        <v>800</v>
      </c>
      <c r="H198" s="10">
        <v>11.761764705882353</v>
      </c>
      <c r="I198" s="8" t="s">
        <v>752</v>
      </c>
      <c r="J198" s="8" t="s">
        <v>801</v>
      </c>
      <c r="K198" s="8" t="s">
        <v>33</v>
      </c>
      <c r="L198" s="8" t="s">
        <v>214</v>
      </c>
      <c r="M198" s="15" t="str">
        <f>HYPERLINK("http://slimages.macys.com/is/image/MCY/14703817 ")</f>
        <v xml:space="preserve">http://slimages.macys.com/is/image/MCY/14703817 </v>
      </c>
      <c r="N198" s="13"/>
    </row>
    <row r="199" spans="1:14" ht="60" x14ac:dyDescent="0.25">
      <c r="A199" s="14" t="s">
        <v>792</v>
      </c>
      <c r="B199" s="8" t="s">
        <v>793</v>
      </c>
      <c r="C199" s="9">
        <v>1</v>
      </c>
      <c r="D199" s="10">
        <v>109.99</v>
      </c>
      <c r="E199" s="9" t="s">
        <v>794</v>
      </c>
      <c r="F199" s="8" t="s">
        <v>795</v>
      </c>
      <c r="G199" s="14"/>
      <c r="H199" s="10">
        <v>11.766176470588233</v>
      </c>
      <c r="I199" s="8" t="s">
        <v>752</v>
      </c>
      <c r="J199" s="8" t="s">
        <v>796</v>
      </c>
      <c r="K199" s="8" t="s">
        <v>33</v>
      </c>
      <c r="L199" s="8" t="s">
        <v>797</v>
      </c>
      <c r="M199" s="15" t="str">
        <f>HYPERLINK("http://slimages.macys.com/is/image/MCY/14787851 ")</f>
        <v xml:space="preserve">http://slimages.macys.com/is/image/MCY/14787851 </v>
      </c>
      <c r="N199" s="13"/>
    </row>
    <row r="200" spans="1:14" ht="48" x14ac:dyDescent="0.25">
      <c r="A200" s="14" t="s">
        <v>1709</v>
      </c>
      <c r="B200" s="8" t="s">
        <v>1710</v>
      </c>
      <c r="C200" s="9">
        <v>2</v>
      </c>
      <c r="D200" s="10">
        <v>59.99</v>
      </c>
      <c r="E200" s="9" t="s">
        <v>1711</v>
      </c>
      <c r="F200" s="8" t="s">
        <v>458</v>
      </c>
      <c r="G200" s="14"/>
      <c r="H200" s="10">
        <v>3.4235294117647053</v>
      </c>
      <c r="I200" s="8" t="s">
        <v>752</v>
      </c>
      <c r="J200" s="8" t="s">
        <v>1712</v>
      </c>
      <c r="K200" s="8" t="s">
        <v>33</v>
      </c>
      <c r="L200" s="8" t="s">
        <v>1511</v>
      </c>
      <c r="M200" s="15" t="str">
        <f>HYPERLINK("http://slimages.macys.com/is/image/MCY/3573212 ")</f>
        <v xml:space="preserve">http://slimages.macys.com/is/image/MCY/3573212 </v>
      </c>
      <c r="N200" s="13"/>
    </row>
    <row r="201" spans="1:14" ht="36" x14ac:dyDescent="0.25">
      <c r="A201" s="14" t="s">
        <v>1305</v>
      </c>
      <c r="B201" s="8" t="s">
        <v>1306</v>
      </c>
      <c r="C201" s="9">
        <v>3</v>
      </c>
      <c r="D201" s="10">
        <v>79.989999999999995</v>
      </c>
      <c r="E201" s="9" t="s">
        <v>1307</v>
      </c>
      <c r="F201" s="8" t="s">
        <v>38</v>
      </c>
      <c r="G201" s="14"/>
      <c r="H201" s="10">
        <v>6.8426470588235286</v>
      </c>
      <c r="I201" s="8" t="s">
        <v>752</v>
      </c>
      <c r="J201" s="8" t="s">
        <v>1074</v>
      </c>
      <c r="K201" s="8"/>
      <c r="L201" s="8"/>
      <c r="M201" s="15" t="str">
        <f>HYPERLINK("http://slimages.macys.com/is/image/MCY/16688302 ")</f>
        <v xml:space="preserve">http://slimages.macys.com/is/image/MCY/16688302 </v>
      </c>
      <c r="N201" s="13"/>
    </row>
    <row r="202" spans="1:14" ht="36" x14ac:dyDescent="0.25">
      <c r="A202" s="14" t="s">
        <v>1071</v>
      </c>
      <c r="B202" s="8" t="s">
        <v>1072</v>
      </c>
      <c r="C202" s="9">
        <v>2</v>
      </c>
      <c r="D202" s="10">
        <v>89.99</v>
      </c>
      <c r="E202" s="9" t="s">
        <v>1073</v>
      </c>
      <c r="F202" s="8" t="s">
        <v>38</v>
      </c>
      <c r="G202" s="14"/>
      <c r="H202" s="10">
        <v>8.8102941176470573</v>
      </c>
      <c r="I202" s="8" t="s">
        <v>752</v>
      </c>
      <c r="J202" s="8" t="s">
        <v>1074</v>
      </c>
      <c r="K202" s="8"/>
      <c r="L202" s="8"/>
      <c r="M202" s="15" t="str">
        <f>HYPERLINK("http://slimages.macys.com/is/image/MCY/16688307 ")</f>
        <v xml:space="preserve">http://slimages.macys.com/is/image/MCY/16688307 </v>
      </c>
      <c r="N202" s="13"/>
    </row>
    <row r="203" spans="1:14" ht="36" x14ac:dyDescent="0.25">
      <c r="A203" s="14" t="s">
        <v>1302</v>
      </c>
      <c r="B203" s="8" t="s">
        <v>1303</v>
      </c>
      <c r="C203" s="9">
        <v>4</v>
      </c>
      <c r="D203" s="10">
        <v>79.989999999999995</v>
      </c>
      <c r="E203" s="9" t="s">
        <v>1304</v>
      </c>
      <c r="F203" s="8" t="s">
        <v>38</v>
      </c>
      <c r="G203" s="14"/>
      <c r="H203" s="10">
        <v>6.8426470588235286</v>
      </c>
      <c r="I203" s="8" t="s">
        <v>752</v>
      </c>
      <c r="J203" s="8" t="s">
        <v>1074</v>
      </c>
      <c r="K203" s="8"/>
      <c r="L203" s="8"/>
      <c r="M203" s="15" t="str">
        <f>HYPERLINK("http://slimages.macys.com/is/image/MCY/16688299 ")</f>
        <v xml:space="preserve">http://slimages.macys.com/is/image/MCY/16688299 </v>
      </c>
      <c r="N203" s="13"/>
    </row>
    <row r="204" spans="1:14" ht="36" x14ac:dyDescent="0.25">
      <c r="A204" s="14" t="s">
        <v>1153</v>
      </c>
      <c r="B204" s="8" t="s">
        <v>1154</v>
      </c>
      <c r="C204" s="9">
        <v>1</v>
      </c>
      <c r="D204" s="10">
        <v>79.989999999999995</v>
      </c>
      <c r="E204" s="9" t="s">
        <v>1155</v>
      </c>
      <c r="F204" s="8" t="s">
        <v>38</v>
      </c>
      <c r="G204" s="14"/>
      <c r="H204" s="10">
        <v>7.9985294117647054</v>
      </c>
      <c r="I204" s="8" t="s">
        <v>752</v>
      </c>
      <c r="J204" s="8" t="s">
        <v>1074</v>
      </c>
      <c r="K204" s="8"/>
      <c r="L204" s="8"/>
      <c r="M204" s="15" t="str">
        <f>HYPERLINK("http://slimages.macys.com/is/image/MCY/16688307 ")</f>
        <v xml:space="preserve">http://slimages.macys.com/is/image/MCY/16688307 </v>
      </c>
      <c r="N204" s="13"/>
    </row>
    <row r="205" spans="1:14" ht="36" x14ac:dyDescent="0.25">
      <c r="A205" s="14" t="s">
        <v>1153</v>
      </c>
      <c r="B205" s="8" t="s">
        <v>1154</v>
      </c>
      <c r="C205" s="9">
        <v>1</v>
      </c>
      <c r="D205" s="10">
        <v>79.989999999999995</v>
      </c>
      <c r="E205" s="9" t="s">
        <v>1155</v>
      </c>
      <c r="F205" s="8" t="s">
        <v>38</v>
      </c>
      <c r="G205" s="14"/>
      <c r="H205" s="10">
        <v>7.9985294117647054</v>
      </c>
      <c r="I205" s="8" t="s">
        <v>752</v>
      </c>
      <c r="J205" s="8" t="s">
        <v>1074</v>
      </c>
      <c r="K205" s="8"/>
      <c r="L205" s="8"/>
      <c r="M205" s="15" t="str">
        <f>HYPERLINK("http://slimages.macys.com/is/image/MCY/16688307 ")</f>
        <v xml:space="preserve">http://slimages.macys.com/is/image/MCY/16688307 </v>
      </c>
      <c r="N205" s="13"/>
    </row>
    <row r="206" spans="1:14" ht="36" x14ac:dyDescent="0.25">
      <c r="A206" s="14" t="s">
        <v>1452</v>
      </c>
      <c r="B206" s="8" t="s">
        <v>1453</v>
      </c>
      <c r="C206" s="9">
        <v>12</v>
      </c>
      <c r="D206" s="10">
        <v>69.989999999999995</v>
      </c>
      <c r="E206" s="9" t="s">
        <v>1454</v>
      </c>
      <c r="F206" s="8" t="s">
        <v>38</v>
      </c>
      <c r="G206" s="14"/>
      <c r="H206" s="10">
        <v>5.8323529411764703</v>
      </c>
      <c r="I206" s="8" t="s">
        <v>752</v>
      </c>
      <c r="J206" s="8" t="s">
        <v>1074</v>
      </c>
      <c r="K206" s="8"/>
      <c r="L206" s="8"/>
      <c r="M206" s="15" t="str">
        <f>HYPERLINK("http://slimages.macys.com/is/image/MCY/16688299 ")</f>
        <v xml:space="preserve">http://slimages.macys.com/is/image/MCY/16688299 </v>
      </c>
      <c r="N206" s="13"/>
    </row>
    <row r="207" spans="1:14" ht="36" x14ac:dyDescent="0.25">
      <c r="A207" s="14" t="s">
        <v>1512</v>
      </c>
      <c r="B207" s="8" t="s">
        <v>1513</v>
      </c>
      <c r="C207" s="9">
        <v>1</v>
      </c>
      <c r="D207" s="10">
        <v>69.989999999999995</v>
      </c>
      <c r="E207" s="9" t="s">
        <v>1514</v>
      </c>
      <c r="F207" s="8" t="s">
        <v>38</v>
      </c>
      <c r="G207" s="14" t="s">
        <v>1515</v>
      </c>
      <c r="H207" s="10">
        <v>5.0955882352941169</v>
      </c>
      <c r="I207" s="8" t="s">
        <v>752</v>
      </c>
      <c r="J207" s="8" t="s">
        <v>1074</v>
      </c>
      <c r="K207" s="8"/>
      <c r="L207" s="8"/>
      <c r="M207" s="15" t="str">
        <f>HYPERLINK("http://slimages.macys.com/is/image/MCY/16688296 ")</f>
        <v xml:space="preserve">http://slimages.macys.com/is/image/MCY/16688296 </v>
      </c>
      <c r="N207" s="13"/>
    </row>
    <row r="208" spans="1:14" ht="36" x14ac:dyDescent="0.25">
      <c r="A208" s="14" t="s">
        <v>1381</v>
      </c>
      <c r="B208" s="8" t="s">
        <v>1382</v>
      </c>
      <c r="C208" s="9">
        <v>1</v>
      </c>
      <c r="D208" s="10">
        <v>33.99</v>
      </c>
      <c r="E208" s="9" t="s">
        <v>1383</v>
      </c>
      <c r="F208" s="8" t="s">
        <v>707</v>
      </c>
      <c r="G208" s="14" t="s">
        <v>1384</v>
      </c>
      <c r="H208" s="10">
        <v>6.1376470588235295</v>
      </c>
      <c r="I208" s="8" t="s">
        <v>1385</v>
      </c>
      <c r="J208" s="8" t="s">
        <v>1386</v>
      </c>
      <c r="K208" s="8" t="s">
        <v>33</v>
      </c>
      <c r="L208" s="8" t="s">
        <v>56</v>
      </c>
      <c r="M208" s="15" t="str">
        <f>HYPERLINK("http://slimages.macys.com/is/image/MCY/12737864 ")</f>
        <v xml:space="preserve">http://slimages.macys.com/is/image/MCY/12737864 </v>
      </c>
      <c r="N208" s="13"/>
    </row>
    <row r="209" spans="1:14" ht="36" x14ac:dyDescent="0.25">
      <c r="A209" s="14" t="s">
        <v>1443</v>
      </c>
      <c r="B209" s="8" t="s">
        <v>1444</v>
      </c>
      <c r="C209" s="9">
        <v>1</v>
      </c>
      <c r="D209" s="10">
        <v>89.99</v>
      </c>
      <c r="E209" s="9" t="s">
        <v>1445</v>
      </c>
      <c r="F209" s="8" t="s">
        <v>30</v>
      </c>
      <c r="G209" s="14"/>
      <c r="H209" s="10">
        <v>5.9117647058823515</v>
      </c>
      <c r="I209" s="8" t="s">
        <v>752</v>
      </c>
      <c r="J209" s="8" t="s">
        <v>1074</v>
      </c>
      <c r="K209" s="8" t="s">
        <v>33</v>
      </c>
      <c r="L209" s="8"/>
      <c r="M209" s="15" t="str">
        <f>HYPERLINK("http://slimages.macys.com/is/image/MCY/12873886 ")</f>
        <v xml:space="preserve">http://slimages.macys.com/is/image/MCY/12873886 </v>
      </c>
      <c r="N209" s="13"/>
    </row>
    <row r="210" spans="1:14" ht="36" x14ac:dyDescent="0.25">
      <c r="A210" s="14" t="s">
        <v>1449</v>
      </c>
      <c r="B210" s="8" t="s">
        <v>1450</v>
      </c>
      <c r="C210" s="9">
        <v>1</v>
      </c>
      <c r="D210" s="10">
        <v>79.989999999999995</v>
      </c>
      <c r="E210" s="9" t="s">
        <v>1451</v>
      </c>
      <c r="F210" s="8" t="s">
        <v>795</v>
      </c>
      <c r="G210" s="14"/>
      <c r="H210" s="10">
        <v>5.8455882352941178</v>
      </c>
      <c r="I210" s="8" t="s">
        <v>752</v>
      </c>
      <c r="J210" s="8" t="s">
        <v>1074</v>
      </c>
      <c r="K210" s="8" t="s">
        <v>33</v>
      </c>
      <c r="L210" s="8"/>
      <c r="M210" s="15" t="str">
        <f>HYPERLINK("http://slimages.macys.com/is/image/MCY/9274751 ")</f>
        <v xml:space="preserve">http://slimages.macys.com/is/image/MCY/9274751 </v>
      </c>
      <c r="N210" s="13"/>
    </row>
    <row r="211" spans="1:14" ht="36" x14ac:dyDescent="0.25">
      <c r="A211" s="14" t="s">
        <v>749</v>
      </c>
      <c r="B211" s="8" t="s">
        <v>750</v>
      </c>
      <c r="C211" s="9">
        <v>1</v>
      </c>
      <c r="D211" s="10">
        <v>64.989999999999995</v>
      </c>
      <c r="E211" s="9" t="s">
        <v>751</v>
      </c>
      <c r="F211" s="8" t="s">
        <v>45</v>
      </c>
      <c r="G211" s="14"/>
      <c r="H211" s="10">
        <v>12.330882352941176</v>
      </c>
      <c r="I211" s="8" t="s">
        <v>752</v>
      </c>
      <c r="J211" s="8" t="s">
        <v>753</v>
      </c>
      <c r="K211" s="8" t="s">
        <v>33</v>
      </c>
      <c r="L211" s="8" t="s">
        <v>754</v>
      </c>
      <c r="M211" s="15" t="str">
        <f>HYPERLINK("http://slimages.macys.com/is/image/MCY/9698684 ")</f>
        <v xml:space="preserve">http://slimages.macys.com/is/image/MCY/9698684 </v>
      </c>
      <c r="N211" s="13"/>
    </row>
    <row r="212" spans="1:14" ht="48" x14ac:dyDescent="0.25">
      <c r="A212" s="14" t="s">
        <v>915</v>
      </c>
      <c r="B212" s="8" t="s">
        <v>916</v>
      </c>
      <c r="C212" s="9">
        <v>1</v>
      </c>
      <c r="D212" s="10">
        <v>79.989999999999995</v>
      </c>
      <c r="E212" s="9" t="s">
        <v>917</v>
      </c>
      <c r="F212" s="8" t="s">
        <v>30</v>
      </c>
      <c r="G212" s="14"/>
      <c r="H212" s="10">
        <v>10.155882352941175</v>
      </c>
      <c r="I212" s="8" t="s">
        <v>752</v>
      </c>
      <c r="J212" s="8" t="s">
        <v>801</v>
      </c>
      <c r="K212" s="8" t="s">
        <v>33</v>
      </c>
      <c r="L212" s="8" t="s">
        <v>68</v>
      </c>
      <c r="M212" s="15" t="str">
        <f>HYPERLINK("http://slimages.macys.com/is/image/MCY/9353034 ")</f>
        <v xml:space="preserve">http://slimages.macys.com/is/image/MCY/9353034 </v>
      </c>
      <c r="N212" s="13"/>
    </row>
    <row r="213" spans="1:14" ht="48" x14ac:dyDescent="0.25">
      <c r="A213" s="14" t="s">
        <v>915</v>
      </c>
      <c r="B213" s="8" t="s">
        <v>916</v>
      </c>
      <c r="C213" s="9">
        <v>1</v>
      </c>
      <c r="D213" s="10">
        <v>79.989999999999995</v>
      </c>
      <c r="E213" s="9" t="s">
        <v>917</v>
      </c>
      <c r="F213" s="8" t="s">
        <v>30</v>
      </c>
      <c r="G213" s="14"/>
      <c r="H213" s="10">
        <v>10.155882352941175</v>
      </c>
      <c r="I213" s="8" t="s">
        <v>752</v>
      </c>
      <c r="J213" s="8" t="s">
        <v>801</v>
      </c>
      <c r="K213" s="8" t="s">
        <v>33</v>
      </c>
      <c r="L213" s="8" t="s">
        <v>68</v>
      </c>
      <c r="M213" s="15" t="str">
        <f>HYPERLINK("http://slimages.macys.com/is/image/MCY/9353034 ")</f>
        <v xml:space="preserve">http://slimages.macys.com/is/image/MCY/9353034 </v>
      </c>
      <c r="N213" s="13"/>
    </row>
    <row r="214" spans="1:14" ht="36" x14ac:dyDescent="0.25">
      <c r="A214" s="14" t="s">
        <v>1808</v>
      </c>
      <c r="B214" s="8" t="s">
        <v>1809</v>
      </c>
      <c r="C214" s="9">
        <v>2</v>
      </c>
      <c r="D214" s="10">
        <v>19.989999999999998</v>
      </c>
      <c r="E214" s="9" t="s">
        <v>1810</v>
      </c>
      <c r="F214" s="8" t="s">
        <v>1163</v>
      </c>
      <c r="G214" s="14" t="s">
        <v>1668</v>
      </c>
      <c r="H214" s="10">
        <v>2.6988235294117646</v>
      </c>
      <c r="I214" s="8" t="s">
        <v>1385</v>
      </c>
      <c r="J214" s="8" t="s">
        <v>1386</v>
      </c>
      <c r="K214" s="8" t="s">
        <v>33</v>
      </c>
      <c r="L214" s="8" t="s">
        <v>1811</v>
      </c>
      <c r="M214" s="15" t="str">
        <f>HYPERLINK("http://slimages.macys.com/is/image/MCY/13399630 ")</f>
        <v xml:space="preserve">http://slimages.macys.com/is/image/MCY/13399630 </v>
      </c>
      <c r="N214" s="13"/>
    </row>
    <row r="215" spans="1:14" ht="36" x14ac:dyDescent="0.25">
      <c r="A215" s="14" t="s">
        <v>1861</v>
      </c>
      <c r="B215" s="8" t="s">
        <v>1862</v>
      </c>
      <c r="C215" s="9">
        <v>1</v>
      </c>
      <c r="D215" s="10">
        <v>12.99</v>
      </c>
      <c r="E215" s="9" t="s">
        <v>1863</v>
      </c>
      <c r="F215" s="8"/>
      <c r="G215" s="14" t="s">
        <v>1668</v>
      </c>
      <c r="H215" s="10">
        <v>1.6541176470588235</v>
      </c>
      <c r="I215" s="8" t="s">
        <v>1385</v>
      </c>
      <c r="J215" s="8" t="s">
        <v>1386</v>
      </c>
      <c r="K215" s="8" t="s">
        <v>33</v>
      </c>
      <c r="L215" s="8" t="s">
        <v>56</v>
      </c>
      <c r="M215" s="15" t="str">
        <f>HYPERLINK("http://slimages.macys.com/is/image/MCY/12737814 ")</f>
        <v xml:space="preserve">http://slimages.macys.com/is/image/MCY/12737814 </v>
      </c>
      <c r="N215" s="13"/>
    </row>
    <row r="216" spans="1:14" ht="60" x14ac:dyDescent="0.25">
      <c r="A216" s="14" t="s">
        <v>812</v>
      </c>
      <c r="B216" s="8" t="s">
        <v>813</v>
      </c>
      <c r="C216" s="9">
        <v>1</v>
      </c>
      <c r="D216" s="10">
        <v>109.99</v>
      </c>
      <c r="E216" s="9" t="s">
        <v>814</v>
      </c>
      <c r="F216" s="8" t="s">
        <v>132</v>
      </c>
      <c r="G216" s="14"/>
      <c r="H216" s="10">
        <v>11.651470588235293</v>
      </c>
      <c r="I216" s="8" t="s">
        <v>752</v>
      </c>
      <c r="J216" s="8" t="s">
        <v>796</v>
      </c>
      <c r="K216" s="8" t="s">
        <v>33</v>
      </c>
      <c r="L216" s="8"/>
      <c r="M216" s="15" t="str">
        <f>HYPERLINK("http://slimages.macys.com/is/image/MCY/12072123 ")</f>
        <v xml:space="preserve">http://slimages.macys.com/is/image/MCY/12072123 </v>
      </c>
      <c r="N216" s="13"/>
    </row>
    <row r="217" spans="1:14" ht="60" x14ac:dyDescent="0.25">
      <c r="A217" s="14" t="s">
        <v>812</v>
      </c>
      <c r="B217" s="8" t="s">
        <v>813</v>
      </c>
      <c r="C217" s="9">
        <v>3</v>
      </c>
      <c r="D217" s="10">
        <v>109.99</v>
      </c>
      <c r="E217" s="9" t="s">
        <v>814</v>
      </c>
      <c r="F217" s="8" t="s">
        <v>132</v>
      </c>
      <c r="G217" s="14"/>
      <c r="H217" s="10">
        <v>11.651470588235293</v>
      </c>
      <c r="I217" s="8" t="s">
        <v>752</v>
      </c>
      <c r="J217" s="8" t="s">
        <v>796</v>
      </c>
      <c r="K217" s="8" t="s">
        <v>33</v>
      </c>
      <c r="L217" s="8"/>
      <c r="M217" s="15" t="str">
        <f>HYPERLINK("http://slimages.macys.com/is/image/MCY/12072123 ")</f>
        <v xml:space="preserve">http://slimages.macys.com/is/image/MCY/12072123 </v>
      </c>
      <c r="N217" s="13"/>
    </row>
    <row r="218" spans="1:14" ht="60" x14ac:dyDescent="0.25">
      <c r="A218" s="14" t="s">
        <v>371</v>
      </c>
      <c r="B218" s="8" t="s">
        <v>372</v>
      </c>
      <c r="C218" s="9">
        <v>2</v>
      </c>
      <c r="D218" s="10">
        <v>195</v>
      </c>
      <c r="E218" s="9" t="s">
        <v>373</v>
      </c>
      <c r="F218" s="8" t="s">
        <v>38</v>
      </c>
      <c r="G218" s="14"/>
      <c r="H218" s="10">
        <v>21.935294117647057</v>
      </c>
      <c r="I218" s="8" t="s">
        <v>39</v>
      </c>
      <c r="J218" s="8" t="s">
        <v>40</v>
      </c>
      <c r="K218" s="8" t="s">
        <v>33</v>
      </c>
      <c r="L218" s="8" t="s">
        <v>214</v>
      </c>
      <c r="M218" s="15" t="str">
        <f>HYPERLINK("http://slimages.macys.com/is/image/MCY/13531841 ")</f>
        <v xml:space="preserve">http://slimages.macys.com/is/image/MCY/13531841 </v>
      </c>
      <c r="N218" s="13"/>
    </row>
    <row r="219" spans="1:14" ht="48" x14ac:dyDescent="0.25">
      <c r="A219" s="14" t="s">
        <v>1391</v>
      </c>
      <c r="B219" s="8" t="s">
        <v>1392</v>
      </c>
      <c r="C219" s="9">
        <v>2</v>
      </c>
      <c r="D219" s="10">
        <v>24.99</v>
      </c>
      <c r="E219" s="9" t="s">
        <v>1393</v>
      </c>
      <c r="F219" s="8" t="s">
        <v>96</v>
      </c>
      <c r="G219" s="14" t="s">
        <v>800</v>
      </c>
      <c r="H219" s="10">
        <v>6.1198529411764708</v>
      </c>
      <c r="I219" s="8" t="s">
        <v>47</v>
      </c>
      <c r="J219" s="8" t="s">
        <v>32</v>
      </c>
      <c r="K219" s="8" t="s">
        <v>33</v>
      </c>
      <c r="L219" s="8" t="s">
        <v>1394</v>
      </c>
      <c r="M219" s="15" t="str">
        <f>HYPERLINK("http://slimages.macys.com/is/image/MCY/9602358 ")</f>
        <v xml:space="preserve">http://slimages.macys.com/is/image/MCY/9602358 </v>
      </c>
      <c r="N219" s="13"/>
    </row>
    <row r="220" spans="1:14" ht="48" x14ac:dyDescent="0.25">
      <c r="A220" s="14" t="s">
        <v>1466</v>
      </c>
      <c r="B220" s="8" t="s">
        <v>1467</v>
      </c>
      <c r="C220" s="9">
        <v>1</v>
      </c>
      <c r="D220" s="10">
        <v>24.99</v>
      </c>
      <c r="E220" s="9" t="s">
        <v>1468</v>
      </c>
      <c r="F220" s="8" t="s">
        <v>707</v>
      </c>
      <c r="G220" s="14" t="s">
        <v>1469</v>
      </c>
      <c r="H220" s="10">
        <v>5.7132352941176467</v>
      </c>
      <c r="I220" s="8" t="s">
        <v>47</v>
      </c>
      <c r="J220" s="8" t="s">
        <v>32</v>
      </c>
      <c r="K220" s="8" t="s">
        <v>33</v>
      </c>
      <c r="L220" s="8" t="s">
        <v>1470</v>
      </c>
      <c r="M220" s="15" t="str">
        <f>HYPERLINK("http://slimages.macys.com/is/image/MCY/9602350 ")</f>
        <v xml:space="preserve">http://slimages.macys.com/is/image/MCY/9602350 </v>
      </c>
      <c r="N220" s="13"/>
    </row>
    <row r="221" spans="1:14" ht="48" x14ac:dyDescent="0.25">
      <c r="A221" s="14" t="s">
        <v>1466</v>
      </c>
      <c r="B221" s="8" t="s">
        <v>1467</v>
      </c>
      <c r="C221" s="9">
        <v>1</v>
      </c>
      <c r="D221" s="10">
        <v>24.99</v>
      </c>
      <c r="E221" s="9" t="s">
        <v>1468</v>
      </c>
      <c r="F221" s="8" t="s">
        <v>707</v>
      </c>
      <c r="G221" s="14" t="s">
        <v>1469</v>
      </c>
      <c r="H221" s="10">
        <v>5.7132352941176467</v>
      </c>
      <c r="I221" s="8" t="s">
        <v>47</v>
      </c>
      <c r="J221" s="8" t="s">
        <v>32</v>
      </c>
      <c r="K221" s="8" t="s">
        <v>33</v>
      </c>
      <c r="L221" s="8" t="s">
        <v>1470</v>
      </c>
      <c r="M221" s="15" t="str">
        <f>HYPERLINK("http://slimages.macys.com/is/image/MCY/9602350 ")</f>
        <v xml:space="preserve">http://slimages.macys.com/is/image/MCY/9602350 </v>
      </c>
      <c r="N221" s="13"/>
    </row>
    <row r="222" spans="1:14" ht="48" x14ac:dyDescent="0.25">
      <c r="A222" s="14" t="s">
        <v>1466</v>
      </c>
      <c r="B222" s="8" t="s">
        <v>1467</v>
      </c>
      <c r="C222" s="9">
        <v>1</v>
      </c>
      <c r="D222" s="10">
        <v>24.99</v>
      </c>
      <c r="E222" s="9" t="s">
        <v>1468</v>
      </c>
      <c r="F222" s="8" t="s">
        <v>707</v>
      </c>
      <c r="G222" s="14" t="s">
        <v>1469</v>
      </c>
      <c r="H222" s="10">
        <v>5.7132352941176467</v>
      </c>
      <c r="I222" s="8" t="s">
        <v>47</v>
      </c>
      <c r="J222" s="8" t="s">
        <v>32</v>
      </c>
      <c r="K222" s="8" t="s">
        <v>33</v>
      </c>
      <c r="L222" s="8" t="s">
        <v>1470</v>
      </c>
      <c r="M222" s="15" t="str">
        <f>HYPERLINK("http://slimages.macys.com/is/image/MCY/9602350 ")</f>
        <v xml:space="preserve">http://slimages.macys.com/is/image/MCY/9602350 </v>
      </c>
      <c r="N222" s="13"/>
    </row>
    <row r="223" spans="1:14" ht="36" x14ac:dyDescent="0.25">
      <c r="A223" s="14" t="s">
        <v>1075</v>
      </c>
      <c r="B223" s="8" t="s">
        <v>1076</v>
      </c>
      <c r="C223" s="9">
        <v>2</v>
      </c>
      <c r="D223" s="10">
        <v>31.99</v>
      </c>
      <c r="E223" s="9" t="s">
        <v>1077</v>
      </c>
      <c r="F223" s="8" t="s">
        <v>164</v>
      </c>
      <c r="G223" s="14"/>
      <c r="H223" s="10">
        <v>8.8066176470588236</v>
      </c>
      <c r="I223" s="8" t="s">
        <v>47</v>
      </c>
      <c r="J223" s="8" t="s">
        <v>32</v>
      </c>
      <c r="K223" s="8" t="s">
        <v>33</v>
      </c>
      <c r="L223" s="8"/>
      <c r="M223" s="15" t="str">
        <f>HYPERLINK("http://slimages.macys.com/is/image/MCY/9911829 ")</f>
        <v xml:space="preserve">http://slimages.macys.com/is/image/MCY/9911829 </v>
      </c>
      <c r="N223" s="13"/>
    </row>
    <row r="224" spans="1:14" ht="168" x14ac:dyDescent="0.25">
      <c r="A224" s="14" t="s">
        <v>1094</v>
      </c>
      <c r="B224" s="8" t="s">
        <v>1095</v>
      </c>
      <c r="C224" s="9">
        <v>1</v>
      </c>
      <c r="D224" s="10">
        <v>88.99</v>
      </c>
      <c r="E224" s="9" t="s">
        <v>1096</v>
      </c>
      <c r="F224" s="8" t="s">
        <v>38</v>
      </c>
      <c r="G224" s="14"/>
      <c r="H224" s="10">
        <v>8.6161764705882344</v>
      </c>
      <c r="I224" s="8" t="s">
        <v>31</v>
      </c>
      <c r="J224" s="8" t="s">
        <v>32</v>
      </c>
      <c r="K224" s="8" t="s">
        <v>33</v>
      </c>
      <c r="L224" s="8" t="s">
        <v>1097</v>
      </c>
      <c r="M224" s="15" t="str">
        <f>HYPERLINK("http://slimages.macys.com/is/image/MCY/16418617 ")</f>
        <v xml:space="preserve">http://slimages.macys.com/is/image/MCY/16418617 </v>
      </c>
      <c r="N224" s="13"/>
    </row>
    <row r="225" spans="1:14" ht="96" x14ac:dyDescent="0.25">
      <c r="A225" s="14" t="s">
        <v>918</v>
      </c>
      <c r="B225" s="8" t="s">
        <v>919</v>
      </c>
      <c r="C225" s="9">
        <v>1</v>
      </c>
      <c r="D225" s="10">
        <v>99.99</v>
      </c>
      <c r="E225" s="9" t="s">
        <v>920</v>
      </c>
      <c r="F225" s="8" t="s">
        <v>118</v>
      </c>
      <c r="G225" s="14"/>
      <c r="H225" s="10">
        <v>10.155882352941175</v>
      </c>
      <c r="I225" s="8" t="s">
        <v>31</v>
      </c>
      <c r="J225" s="8" t="s">
        <v>32</v>
      </c>
      <c r="K225" s="8" t="s">
        <v>33</v>
      </c>
      <c r="L225" s="8" t="s">
        <v>921</v>
      </c>
      <c r="M225" s="15" t="str">
        <f>HYPERLINK("http://slimages.macys.com/is/image/MCY/9484290 ")</f>
        <v xml:space="preserve">http://slimages.macys.com/is/image/MCY/9484290 </v>
      </c>
      <c r="N225" s="13"/>
    </row>
    <row r="226" spans="1:14" ht="84" x14ac:dyDescent="0.25">
      <c r="A226" s="14" t="s">
        <v>617</v>
      </c>
      <c r="B226" s="8" t="s">
        <v>618</v>
      </c>
      <c r="C226" s="9">
        <v>1</v>
      </c>
      <c r="D226" s="10">
        <v>84.99</v>
      </c>
      <c r="E226" s="9" t="s">
        <v>619</v>
      </c>
      <c r="F226" s="8" t="s">
        <v>118</v>
      </c>
      <c r="G226" s="14"/>
      <c r="H226" s="10">
        <v>14.951470588235292</v>
      </c>
      <c r="I226" s="8" t="s">
        <v>31</v>
      </c>
      <c r="J226" s="8" t="s">
        <v>32</v>
      </c>
      <c r="K226" s="8" t="s">
        <v>33</v>
      </c>
      <c r="L226" s="8" t="s">
        <v>620</v>
      </c>
      <c r="M226" s="15" t="str">
        <f>HYPERLINK("http://slimages.macys.com/is/image/MCY/9484682 ")</f>
        <v xml:space="preserve">http://slimages.macys.com/is/image/MCY/9484682 </v>
      </c>
      <c r="N226" s="13"/>
    </row>
    <row r="227" spans="1:14" ht="36" x14ac:dyDescent="0.25">
      <c r="A227" s="14" t="s">
        <v>1021</v>
      </c>
      <c r="B227" s="8" t="s">
        <v>1022</v>
      </c>
      <c r="C227" s="9">
        <v>1</v>
      </c>
      <c r="D227" s="10">
        <v>96.99</v>
      </c>
      <c r="E227" s="9" t="s">
        <v>1023</v>
      </c>
      <c r="F227" s="8" t="s">
        <v>173</v>
      </c>
      <c r="G227" s="14"/>
      <c r="H227" s="10">
        <v>9.4544117647058812</v>
      </c>
      <c r="I227" s="8" t="s">
        <v>31</v>
      </c>
      <c r="J227" s="8" t="s">
        <v>32</v>
      </c>
      <c r="K227" s="8" t="s">
        <v>33</v>
      </c>
      <c r="L227" s="8" t="s">
        <v>1024</v>
      </c>
      <c r="M227" s="15" t="str">
        <f>HYPERLINK("http://slimages.macys.com/is/image/MCY/16418492 ")</f>
        <v xml:space="preserve">http://slimages.macys.com/is/image/MCY/16418492 </v>
      </c>
      <c r="N227" s="13"/>
    </row>
    <row r="228" spans="1:14" ht="120" x14ac:dyDescent="0.25">
      <c r="A228" s="14" t="s">
        <v>632</v>
      </c>
      <c r="B228" s="8" t="s">
        <v>633</v>
      </c>
      <c r="C228" s="9">
        <v>1</v>
      </c>
      <c r="D228" s="10">
        <v>81.99</v>
      </c>
      <c r="E228" s="9" t="s">
        <v>634</v>
      </c>
      <c r="F228" s="8" t="s">
        <v>635</v>
      </c>
      <c r="G228" s="14"/>
      <c r="H228" s="10">
        <v>14.201470588235294</v>
      </c>
      <c r="I228" s="8" t="s">
        <v>31</v>
      </c>
      <c r="J228" s="8" t="s">
        <v>32</v>
      </c>
      <c r="K228" s="8" t="s">
        <v>33</v>
      </c>
      <c r="L228" s="8" t="s">
        <v>636</v>
      </c>
      <c r="M228" s="15" t="str">
        <f>HYPERLINK("http://slimages.macys.com/is/image/MCY/14431593 ")</f>
        <v xml:space="preserve">http://slimages.macys.com/is/image/MCY/14431593 </v>
      </c>
      <c r="N228" s="13"/>
    </row>
    <row r="229" spans="1:14" ht="48" x14ac:dyDescent="0.25">
      <c r="A229" s="14" t="s">
        <v>613</v>
      </c>
      <c r="B229" s="8" t="s">
        <v>614</v>
      </c>
      <c r="C229" s="9">
        <v>1</v>
      </c>
      <c r="D229" s="10">
        <v>84.99</v>
      </c>
      <c r="E229" s="9" t="s">
        <v>615</v>
      </c>
      <c r="F229" s="8"/>
      <c r="G229" s="14"/>
      <c r="H229" s="10">
        <v>15.101470588235292</v>
      </c>
      <c r="I229" s="8" t="s">
        <v>31</v>
      </c>
      <c r="J229" s="8" t="s">
        <v>32</v>
      </c>
      <c r="K229" s="8" t="s">
        <v>33</v>
      </c>
      <c r="L229" s="8" t="s">
        <v>616</v>
      </c>
      <c r="M229" s="15" t="str">
        <f>HYPERLINK("http://slimages.macys.com/is/image/MCY/9433650 ")</f>
        <v xml:space="preserve">http://slimages.macys.com/is/image/MCY/9433650 </v>
      </c>
      <c r="N229" s="13"/>
    </row>
    <row r="230" spans="1:14" ht="36" x14ac:dyDescent="0.25">
      <c r="A230" s="14" t="s">
        <v>1228</v>
      </c>
      <c r="B230" s="8" t="s">
        <v>1229</v>
      </c>
      <c r="C230" s="9">
        <v>2</v>
      </c>
      <c r="D230" s="10">
        <v>31.99</v>
      </c>
      <c r="E230" s="9" t="s">
        <v>1230</v>
      </c>
      <c r="F230" s="8" t="s">
        <v>118</v>
      </c>
      <c r="G230" s="14"/>
      <c r="H230" s="10">
        <v>7.5301470588235286</v>
      </c>
      <c r="I230" s="8" t="s">
        <v>47</v>
      </c>
      <c r="J230" s="8" t="s">
        <v>32</v>
      </c>
      <c r="K230" s="8" t="s">
        <v>33</v>
      </c>
      <c r="L230" s="8"/>
      <c r="M230" s="15" t="str">
        <f>HYPERLINK("http://slimages.macys.com/is/image/MCY/9912809 ")</f>
        <v xml:space="preserve">http://slimages.macys.com/is/image/MCY/9912809 </v>
      </c>
      <c r="N230" s="13"/>
    </row>
    <row r="231" spans="1:14" ht="36" x14ac:dyDescent="0.25">
      <c r="A231" s="14" t="s">
        <v>517</v>
      </c>
      <c r="B231" s="8" t="s">
        <v>518</v>
      </c>
      <c r="C231" s="9">
        <v>1</v>
      </c>
      <c r="D231" s="10">
        <v>91.99</v>
      </c>
      <c r="E231" s="9" t="s">
        <v>519</v>
      </c>
      <c r="F231" s="8" t="s">
        <v>30</v>
      </c>
      <c r="G231" s="14"/>
      <c r="H231" s="10">
        <v>17.616176470588233</v>
      </c>
      <c r="I231" s="8" t="s">
        <v>31</v>
      </c>
      <c r="J231" s="8" t="s">
        <v>32</v>
      </c>
      <c r="K231" s="8" t="s">
        <v>33</v>
      </c>
      <c r="L231" s="8" t="s">
        <v>520</v>
      </c>
      <c r="M231" s="15" t="str">
        <f>HYPERLINK("http://slimages.macys.com/is/image/MCY/9433639 ")</f>
        <v xml:space="preserve">http://slimages.macys.com/is/image/MCY/9433639 </v>
      </c>
      <c r="N231" s="13"/>
    </row>
    <row r="232" spans="1:14" ht="36" x14ac:dyDescent="0.25">
      <c r="A232" s="14" t="s">
        <v>762</v>
      </c>
      <c r="B232" s="8" t="s">
        <v>763</v>
      </c>
      <c r="C232" s="9">
        <v>1</v>
      </c>
      <c r="D232" s="10">
        <v>59.99</v>
      </c>
      <c r="E232" s="9" t="s">
        <v>764</v>
      </c>
      <c r="F232" s="8" t="s">
        <v>96</v>
      </c>
      <c r="G232" s="14"/>
      <c r="H232" s="10">
        <v>12.154411764705882</v>
      </c>
      <c r="I232" s="8" t="s">
        <v>31</v>
      </c>
      <c r="J232" s="8" t="s">
        <v>32</v>
      </c>
      <c r="K232" s="8" t="s">
        <v>33</v>
      </c>
      <c r="L232" s="8" t="s">
        <v>765</v>
      </c>
      <c r="M232" s="15" t="str">
        <f>HYPERLINK("http://slimages.macys.com/is/image/MCY/9812356 ")</f>
        <v xml:space="preserve">http://slimages.macys.com/is/image/MCY/9812356 </v>
      </c>
      <c r="N232" s="13"/>
    </row>
    <row r="233" spans="1:14" ht="36" x14ac:dyDescent="0.25">
      <c r="A233" s="14" t="s">
        <v>926</v>
      </c>
      <c r="B233" s="8" t="s">
        <v>927</v>
      </c>
      <c r="C233" s="9">
        <v>4</v>
      </c>
      <c r="D233" s="10">
        <v>42.99</v>
      </c>
      <c r="E233" s="9" t="s">
        <v>928</v>
      </c>
      <c r="F233" s="8" t="s">
        <v>85</v>
      </c>
      <c r="G233" s="14"/>
      <c r="H233" s="10">
        <v>10.088235294117647</v>
      </c>
      <c r="I233" s="8" t="s">
        <v>47</v>
      </c>
      <c r="J233" s="8" t="s">
        <v>32</v>
      </c>
      <c r="K233" s="8" t="s">
        <v>33</v>
      </c>
      <c r="L233" s="8"/>
      <c r="M233" s="15" t="str">
        <f>HYPERLINK("http://slimages.macys.com/is/image/MCY/9912812 ")</f>
        <v xml:space="preserve">http://slimages.macys.com/is/image/MCY/9912812 </v>
      </c>
      <c r="N233" s="13"/>
    </row>
    <row r="234" spans="1:14" ht="36" x14ac:dyDescent="0.25">
      <c r="A234" s="14" t="s">
        <v>815</v>
      </c>
      <c r="B234" s="8" t="s">
        <v>816</v>
      </c>
      <c r="C234" s="9">
        <v>1</v>
      </c>
      <c r="D234" s="10">
        <v>90.99</v>
      </c>
      <c r="E234" s="9" t="s">
        <v>817</v>
      </c>
      <c r="F234" s="8" t="s">
        <v>123</v>
      </c>
      <c r="G234" s="14"/>
      <c r="H234" s="10">
        <v>11.576470588235294</v>
      </c>
      <c r="I234" s="8" t="s">
        <v>31</v>
      </c>
      <c r="J234" s="8" t="s">
        <v>32</v>
      </c>
      <c r="K234" s="8" t="s">
        <v>33</v>
      </c>
      <c r="L234" s="8" t="s">
        <v>200</v>
      </c>
      <c r="M234" s="15" t="str">
        <f>HYPERLINK("http://slimages.macys.com/is/image/MCY/12930689 ")</f>
        <v xml:space="preserve">http://slimages.macys.com/is/image/MCY/12930689 </v>
      </c>
      <c r="N234" s="13"/>
    </row>
    <row r="235" spans="1:14" ht="36" x14ac:dyDescent="0.25">
      <c r="A235" s="14" t="s">
        <v>1160</v>
      </c>
      <c r="B235" s="8" t="s">
        <v>1161</v>
      </c>
      <c r="C235" s="9">
        <v>1</v>
      </c>
      <c r="D235" s="10">
        <v>39.99</v>
      </c>
      <c r="E235" s="9" t="s">
        <v>1162</v>
      </c>
      <c r="F235" s="8" t="s">
        <v>1163</v>
      </c>
      <c r="G235" s="14"/>
      <c r="H235" s="10">
        <v>7.875</v>
      </c>
      <c r="I235" s="8" t="s">
        <v>47</v>
      </c>
      <c r="J235" s="8" t="s">
        <v>78</v>
      </c>
      <c r="K235" s="8" t="s">
        <v>33</v>
      </c>
      <c r="L235" s="8" t="s">
        <v>49</v>
      </c>
      <c r="M235" s="15" t="str">
        <f>HYPERLINK("http://slimages.macys.com/is/image/MCY/11303348 ")</f>
        <v xml:space="preserve">http://slimages.macys.com/is/image/MCY/11303348 </v>
      </c>
      <c r="N235" s="13"/>
    </row>
    <row r="236" spans="1:14" ht="36" x14ac:dyDescent="0.25">
      <c r="A236" s="14" t="s">
        <v>946</v>
      </c>
      <c r="B236" s="8" t="s">
        <v>947</v>
      </c>
      <c r="C236" s="9">
        <v>1</v>
      </c>
      <c r="D236" s="10">
        <v>49.99</v>
      </c>
      <c r="E236" s="9" t="s">
        <v>948</v>
      </c>
      <c r="F236" s="8" t="s">
        <v>665</v>
      </c>
      <c r="G236" s="14"/>
      <c r="H236" s="10">
        <v>9.9264705882352935</v>
      </c>
      <c r="I236" s="8" t="s">
        <v>54</v>
      </c>
      <c r="J236" s="8" t="s">
        <v>78</v>
      </c>
      <c r="K236" s="8" t="s">
        <v>33</v>
      </c>
      <c r="L236" s="8" t="s">
        <v>49</v>
      </c>
      <c r="M236" s="15" t="str">
        <f>HYPERLINK("http://slimages.macys.com/is/image/MCY/11014820 ")</f>
        <v xml:space="preserve">http://slimages.macys.com/is/image/MCY/11014820 </v>
      </c>
      <c r="N236" s="13"/>
    </row>
    <row r="237" spans="1:14" ht="36" x14ac:dyDescent="0.25">
      <c r="A237" s="14" t="s">
        <v>75</v>
      </c>
      <c r="B237" s="8" t="s">
        <v>76</v>
      </c>
      <c r="C237" s="9">
        <v>1</v>
      </c>
      <c r="D237" s="10">
        <v>249.99</v>
      </c>
      <c r="E237" s="9" t="s">
        <v>77</v>
      </c>
      <c r="F237" s="8" t="s">
        <v>30</v>
      </c>
      <c r="G237" s="14"/>
      <c r="H237" s="10">
        <v>43.182352941176468</v>
      </c>
      <c r="I237" s="8" t="s">
        <v>54</v>
      </c>
      <c r="J237" s="8" t="s">
        <v>78</v>
      </c>
      <c r="K237" s="8" t="s">
        <v>33</v>
      </c>
      <c r="L237" s="8" t="s">
        <v>79</v>
      </c>
      <c r="M237" s="15" t="str">
        <f>HYPERLINK("http://slimages.macys.com/is/image/MCY/2567151 ")</f>
        <v xml:space="preserve">http://slimages.macys.com/is/image/MCY/2567151 </v>
      </c>
      <c r="N237" s="13"/>
    </row>
    <row r="238" spans="1:14" ht="36" x14ac:dyDescent="0.25">
      <c r="A238" s="14" t="s">
        <v>209</v>
      </c>
      <c r="B238" s="8" t="s">
        <v>210</v>
      </c>
      <c r="C238" s="9">
        <v>1</v>
      </c>
      <c r="D238" s="10">
        <v>149.99</v>
      </c>
      <c r="E238" s="9" t="s">
        <v>211</v>
      </c>
      <c r="F238" s="8" t="s">
        <v>212</v>
      </c>
      <c r="G238" s="14"/>
      <c r="H238" s="10">
        <v>28.217647058823527</v>
      </c>
      <c r="I238" s="8" t="s">
        <v>31</v>
      </c>
      <c r="J238" s="8" t="s">
        <v>213</v>
      </c>
      <c r="K238" s="8" t="s">
        <v>33</v>
      </c>
      <c r="L238" s="8" t="s">
        <v>214</v>
      </c>
      <c r="M238" s="15" t="str">
        <f>HYPERLINK("http://slimages.macys.com/is/image/MCY/16327172 ")</f>
        <v xml:space="preserve">http://slimages.macys.com/is/image/MCY/16327172 </v>
      </c>
      <c r="N238" s="13"/>
    </row>
    <row r="239" spans="1:14" ht="36" x14ac:dyDescent="0.25">
      <c r="A239" s="14" t="s">
        <v>484</v>
      </c>
      <c r="B239" s="8" t="s">
        <v>485</v>
      </c>
      <c r="C239" s="9">
        <v>1</v>
      </c>
      <c r="D239" s="10">
        <v>129.99</v>
      </c>
      <c r="E239" s="9" t="s">
        <v>486</v>
      </c>
      <c r="F239" s="8" t="s">
        <v>118</v>
      </c>
      <c r="G239" s="14"/>
      <c r="H239" s="10">
        <v>18.511764705882349</v>
      </c>
      <c r="I239" s="8" t="s">
        <v>31</v>
      </c>
      <c r="J239" s="8" t="s">
        <v>32</v>
      </c>
      <c r="K239" s="8" t="s">
        <v>33</v>
      </c>
      <c r="L239" s="8" t="s">
        <v>487</v>
      </c>
      <c r="M239" s="15" t="str">
        <f>HYPERLINK("http://slimages.macys.com/is/image/MCY/11824958 ")</f>
        <v xml:space="preserve">http://slimages.macys.com/is/image/MCY/11824958 </v>
      </c>
      <c r="N239" s="13"/>
    </row>
    <row r="240" spans="1:14" ht="36" x14ac:dyDescent="0.25">
      <c r="A240" s="14" t="s">
        <v>549</v>
      </c>
      <c r="B240" s="8" t="s">
        <v>550</v>
      </c>
      <c r="C240" s="9">
        <v>1</v>
      </c>
      <c r="D240" s="10">
        <v>99.99</v>
      </c>
      <c r="E240" s="9" t="s">
        <v>551</v>
      </c>
      <c r="F240" s="8" t="s">
        <v>30</v>
      </c>
      <c r="G240" s="14"/>
      <c r="H240" s="10">
        <v>16.777941176470588</v>
      </c>
      <c r="I240" s="8" t="s">
        <v>31</v>
      </c>
      <c r="J240" s="8" t="s">
        <v>32</v>
      </c>
      <c r="K240" s="8" t="s">
        <v>33</v>
      </c>
      <c r="L240" s="8" t="s">
        <v>49</v>
      </c>
      <c r="M240" s="15" t="str">
        <f>HYPERLINK("http://slimages.macys.com/is/image/MCY/11825479 ")</f>
        <v xml:space="preserve">http://slimages.macys.com/is/image/MCY/11825479 </v>
      </c>
      <c r="N240" s="13"/>
    </row>
    <row r="241" spans="1:14" ht="144" x14ac:dyDescent="0.25">
      <c r="A241" s="14" t="s">
        <v>594</v>
      </c>
      <c r="B241" s="8" t="s">
        <v>595</v>
      </c>
      <c r="C241" s="9">
        <v>1</v>
      </c>
      <c r="D241" s="10">
        <v>124.99</v>
      </c>
      <c r="E241" s="9" t="s">
        <v>596</v>
      </c>
      <c r="F241" s="8" t="s">
        <v>426</v>
      </c>
      <c r="G241" s="14"/>
      <c r="H241" s="10">
        <v>16.314705882352939</v>
      </c>
      <c r="I241" s="8" t="s">
        <v>31</v>
      </c>
      <c r="J241" s="8" t="s">
        <v>32</v>
      </c>
      <c r="K241" s="8" t="s">
        <v>33</v>
      </c>
      <c r="L241" s="8" t="s">
        <v>454</v>
      </c>
      <c r="M241" s="15" t="str">
        <f>HYPERLINK("http://slimages.macys.com/is/image/MCY/12490037 ")</f>
        <v xml:space="preserve">http://slimages.macys.com/is/image/MCY/12490037 </v>
      </c>
      <c r="N241" s="13"/>
    </row>
    <row r="242" spans="1:14" ht="36" x14ac:dyDescent="0.25">
      <c r="A242" s="14" t="s">
        <v>521</v>
      </c>
      <c r="B242" s="8" t="s">
        <v>522</v>
      </c>
      <c r="C242" s="9">
        <v>1</v>
      </c>
      <c r="D242" s="10">
        <v>104.83</v>
      </c>
      <c r="E242" s="9" t="s">
        <v>523</v>
      </c>
      <c r="F242" s="8" t="s">
        <v>38</v>
      </c>
      <c r="G242" s="14"/>
      <c r="H242" s="10">
        <v>17.342647058823527</v>
      </c>
      <c r="I242" s="8" t="s">
        <v>31</v>
      </c>
      <c r="J242" s="8" t="s">
        <v>32</v>
      </c>
      <c r="K242" s="8"/>
      <c r="L242" s="8"/>
      <c r="M242" s="15" t="str">
        <f>HYPERLINK("http://slimages.macys.com/is/image/MCY/17564049 ")</f>
        <v xml:space="preserve">http://slimages.macys.com/is/image/MCY/17564049 </v>
      </c>
      <c r="N242" s="13"/>
    </row>
    <row r="243" spans="1:14" ht="36" x14ac:dyDescent="0.25">
      <c r="A243" s="14" t="s">
        <v>1439</v>
      </c>
      <c r="B243" s="8" t="s">
        <v>1440</v>
      </c>
      <c r="C243" s="9">
        <v>2</v>
      </c>
      <c r="D243" s="10">
        <v>39.99</v>
      </c>
      <c r="E243" s="9" t="s">
        <v>1441</v>
      </c>
      <c r="F243" s="8" t="s">
        <v>148</v>
      </c>
      <c r="G243" s="14"/>
      <c r="H243" s="10">
        <v>5.936323529411764</v>
      </c>
      <c r="I243" s="8" t="s">
        <v>402</v>
      </c>
      <c r="J243" s="8" t="s">
        <v>32</v>
      </c>
      <c r="K243" s="8" t="s">
        <v>33</v>
      </c>
      <c r="L243" s="8" t="s">
        <v>1442</v>
      </c>
      <c r="M243" s="15" t="str">
        <f>HYPERLINK("http://slimages.macys.com/is/image/MCY/14332066 ")</f>
        <v xml:space="preserve">http://slimages.macys.com/is/image/MCY/14332066 </v>
      </c>
      <c r="N243" s="13"/>
    </row>
    <row r="244" spans="1:14" ht="36" x14ac:dyDescent="0.25">
      <c r="A244" s="14" t="s">
        <v>1435</v>
      </c>
      <c r="B244" s="8" t="s">
        <v>1436</v>
      </c>
      <c r="C244" s="9">
        <v>1</v>
      </c>
      <c r="D244" s="10">
        <v>29.99</v>
      </c>
      <c r="E244" s="9" t="s">
        <v>1437</v>
      </c>
      <c r="F244" s="8" t="s">
        <v>173</v>
      </c>
      <c r="G244" s="14"/>
      <c r="H244" s="10">
        <v>5.936323529411764</v>
      </c>
      <c r="I244" s="8" t="s">
        <v>402</v>
      </c>
      <c r="J244" s="8" t="s">
        <v>32</v>
      </c>
      <c r="K244" s="8" t="s">
        <v>33</v>
      </c>
      <c r="L244" s="8" t="s">
        <v>1438</v>
      </c>
      <c r="M244" s="15" t="str">
        <f>HYPERLINK("http://slimages.macys.com/is/image/MCY/10044237 ")</f>
        <v xml:space="preserve">http://slimages.macys.com/is/image/MCY/10044237 </v>
      </c>
      <c r="N244" s="13"/>
    </row>
    <row r="245" spans="1:14" ht="96" x14ac:dyDescent="0.25">
      <c r="A245" s="14" t="s">
        <v>1146</v>
      </c>
      <c r="B245" s="8" t="s">
        <v>1147</v>
      </c>
      <c r="C245" s="9">
        <v>1</v>
      </c>
      <c r="D245" s="10">
        <v>62.99</v>
      </c>
      <c r="E245" s="9" t="s">
        <v>1148</v>
      </c>
      <c r="F245" s="8" t="s">
        <v>38</v>
      </c>
      <c r="G245" s="14"/>
      <c r="H245" s="10">
        <v>8.1573529411764696</v>
      </c>
      <c r="I245" s="8" t="s">
        <v>31</v>
      </c>
      <c r="J245" s="8" t="s">
        <v>32</v>
      </c>
      <c r="K245" s="8" t="s">
        <v>33</v>
      </c>
      <c r="L245" s="8" t="s">
        <v>1149</v>
      </c>
      <c r="M245" s="15" t="str">
        <f>HYPERLINK("http://slimages.macys.com/is/image/MCY/12496564 ")</f>
        <v xml:space="preserve">http://slimages.macys.com/is/image/MCY/12496564 </v>
      </c>
      <c r="N245" s="13"/>
    </row>
    <row r="246" spans="1:14" ht="168" x14ac:dyDescent="0.25">
      <c r="A246" s="14" t="s">
        <v>27</v>
      </c>
      <c r="B246" s="8" t="s">
        <v>28</v>
      </c>
      <c r="C246" s="9">
        <v>1</v>
      </c>
      <c r="D246" s="10">
        <v>485.99</v>
      </c>
      <c r="E246" s="9" t="s">
        <v>29</v>
      </c>
      <c r="F246" s="8" t="s">
        <v>30</v>
      </c>
      <c r="G246" s="14"/>
      <c r="H246" s="10">
        <v>63.635294117647049</v>
      </c>
      <c r="I246" s="8" t="s">
        <v>31</v>
      </c>
      <c r="J246" s="8" t="s">
        <v>32</v>
      </c>
      <c r="K246" s="8" t="s">
        <v>33</v>
      </c>
      <c r="L246" s="8" t="s">
        <v>34</v>
      </c>
      <c r="M246" s="15" t="str">
        <f>HYPERLINK("http://slimages.macys.com/is/image/MCY/12500568 ")</f>
        <v xml:space="preserve">http://slimages.macys.com/is/image/MCY/12500568 </v>
      </c>
      <c r="N246" s="13"/>
    </row>
    <row r="247" spans="1:14" ht="132" x14ac:dyDescent="0.25">
      <c r="A247" s="14" t="s">
        <v>166</v>
      </c>
      <c r="B247" s="8" t="s">
        <v>167</v>
      </c>
      <c r="C247" s="9">
        <v>1</v>
      </c>
      <c r="D247" s="10">
        <v>240.99</v>
      </c>
      <c r="E247" s="9" t="s">
        <v>168</v>
      </c>
      <c r="F247" s="8" t="s">
        <v>65</v>
      </c>
      <c r="G247" s="14"/>
      <c r="H247" s="10">
        <v>31.455882352941174</v>
      </c>
      <c r="I247" s="8" t="s">
        <v>31</v>
      </c>
      <c r="J247" s="8" t="s">
        <v>32</v>
      </c>
      <c r="K247" s="8" t="s">
        <v>33</v>
      </c>
      <c r="L247" s="8" t="s">
        <v>169</v>
      </c>
      <c r="M247" s="15" t="str">
        <f>HYPERLINK("http://slimages.macys.com/is/image/MCY/12930136 ")</f>
        <v xml:space="preserve">http://slimages.macys.com/is/image/MCY/12930136 </v>
      </c>
      <c r="N247" s="13"/>
    </row>
    <row r="248" spans="1:14" ht="36" x14ac:dyDescent="0.25">
      <c r="A248" s="14" t="s">
        <v>399</v>
      </c>
      <c r="B248" s="8" t="s">
        <v>400</v>
      </c>
      <c r="C248" s="9">
        <v>1</v>
      </c>
      <c r="D248" s="10">
        <v>86.99</v>
      </c>
      <c r="E248" s="9" t="s">
        <v>401</v>
      </c>
      <c r="F248" s="8" t="s">
        <v>38</v>
      </c>
      <c r="G248" s="14"/>
      <c r="H248" s="10">
        <v>21.220588235294116</v>
      </c>
      <c r="I248" s="8" t="s">
        <v>402</v>
      </c>
      <c r="J248" s="8" t="s">
        <v>137</v>
      </c>
      <c r="K248" s="8" t="s">
        <v>33</v>
      </c>
      <c r="L248" s="8" t="s">
        <v>56</v>
      </c>
      <c r="M248" s="15" t="str">
        <f>HYPERLINK("http://slimages.macys.com/is/image/MCY/10509688 ")</f>
        <v xml:space="preserve">http://slimages.macys.com/is/image/MCY/10509688 </v>
      </c>
      <c r="N248" s="13"/>
    </row>
    <row r="249" spans="1:14" ht="60" x14ac:dyDescent="0.25">
      <c r="A249" s="14" t="s">
        <v>545</v>
      </c>
      <c r="B249" s="8" t="s">
        <v>546</v>
      </c>
      <c r="C249" s="9">
        <v>1</v>
      </c>
      <c r="D249" s="10">
        <v>119.99</v>
      </c>
      <c r="E249" s="9" t="s">
        <v>547</v>
      </c>
      <c r="F249" s="8" t="s">
        <v>38</v>
      </c>
      <c r="G249" s="14"/>
      <c r="H249" s="10">
        <v>16.799999999999997</v>
      </c>
      <c r="I249" s="8" t="s">
        <v>39</v>
      </c>
      <c r="J249" s="8" t="s">
        <v>548</v>
      </c>
      <c r="K249" s="8" t="s">
        <v>33</v>
      </c>
      <c r="L249" s="8" t="s">
        <v>214</v>
      </c>
      <c r="M249" s="15" t="str">
        <f>HYPERLINK("http://slimages.macys.com/is/image/MCY/15272012 ")</f>
        <v xml:space="preserve">http://slimages.macys.com/is/image/MCY/15272012 </v>
      </c>
      <c r="N249" s="13"/>
    </row>
    <row r="250" spans="1:14" ht="48" x14ac:dyDescent="0.25">
      <c r="A250" s="14" t="s">
        <v>1398</v>
      </c>
      <c r="B250" s="8" t="s">
        <v>1399</v>
      </c>
      <c r="C250" s="9">
        <v>1</v>
      </c>
      <c r="D250" s="10">
        <v>24.99</v>
      </c>
      <c r="E250" s="9" t="s">
        <v>1400</v>
      </c>
      <c r="F250" s="8" t="s">
        <v>65</v>
      </c>
      <c r="G250" s="14"/>
      <c r="H250" s="10">
        <v>6.1044117647058815</v>
      </c>
      <c r="I250" s="8" t="s">
        <v>47</v>
      </c>
      <c r="J250" s="8" t="s">
        <v>727</v>
      </c>
      <c r="K250" s="8" t="s">
        <v>33</v>
      </c>
      <c r="L250" s="8"/>
      <c r="M250" s="15" t="str">
        <f>HYPERLINK("http://slimages.macys.com/is/image/MCY/8754625 ")</f>
        <v xml:space="preserve">http://slimages.macys.com/is/image/MCY/8754625 </v>
      </c>
      <c r="N250" s="13"/>
    </row>
    <row r="251" spans="1:14" ht="48" x14ac:dyDescent="0.25">
      <c r="A251" s="14" t="s">
        <v>723</v>
      </c>
      <c r="B251" s="8" t="s">
        <v>724</v>
      </c>
      <c r="C251" s="9">
        <v>3</v>
      </c>
      <c r="D251" s="10">
        <v>49.99</v>
      </c>
      <c r="E251" s="9" t="s">
        <v>725</v>
      </c>
      <c r="F251" s="8" t="s">
        <v>726</v>
      </c>
      <c r="G251" s="14"/>
      <c r="H251" s="10">
        <v>12.60514705882353</v>
      </c>
      <c r="I251" s="8" t="s">
        <v>47</v>
      </c>
      <c r="J251" s="8" t="s">
        <v>727</v>
      </c>
      <c r="K251" s="8" t="s">
        <v>33</v>
      </c>
      <c r="L251" s="8"/>
      <c r="M251" s="15" t="str">
        <f>HYPERLINK("http://slimages.macys.com/is/image/MCY/8754607 ")</f>
        <v xml:space="preserve">http://slimages.macys.com/is/image/MCY/8754607 </v>
      </c>
      <c r="N251" s="13"/>
    </row>
    <row r="252" spans="1:14" ht="48" x14ac:dyDescent="0.25">
      <c r="A252" s="14" t="s">
        <v>1644</v>
      </c>
      <c r="B252" s="8" t="s">
        <v>1645</v>
      </c>
      <c r="C252" s="9">
        <v>1</v>
      </c>
      <c r="D252" s="10">
        <v>12.99</v>
      </c>
      <c r="E252" s="9" t="s">
        <v>1646</v>
      </c>
      <c r="F252" s="8" t="s">
        <v>30</v>
      </c>
      <c r="G252" s="14" t="s">
        <v>1501</v>
      </c>
      <c r="H252" s="10">
        <v>4.0808823529411757</v>
      </c>
      <c r="I252" s="8" t="s">
        <v>699</v>
      </c>
      <c r="J252" s="8" t="s">
        <v>820</v>
      </c>
      <c r="K252" s="8"/>
      <c r="L252" s="8"/>
      <c r="M252" s="15" t="str">
        <f>HYPERLINK("http://slimages.macys.com/is/image/MCY/17707392 ")</f>
        <v xml:space="preserve">http://slimages.macys.com/is/image/MCY/17707392 </v>
      </c>
      <c r="N252" s="13"/>
    </row>
    <row r="253" spans="1:14" ht="48" x14ac:dyDescent="0.25">
      <c r="A253" s="14" t="s">
        <v>977</v>
      </c>
      <c r="B253" s="8" t="s">
        <v>978</v>
      </c>
      <c r="C253" s="9">
        <v>1</v>
      </c>
      <c r="D253" s="10">
        <v>49.99</v>
      </c>
      <c r="E253" s="9">
        <v>16718138</v>
      </c>
      <c r="F253" s="8" t="s">
        <v>979</v>
      </c>
      <c r="G253" s="14"/>
      <c r="H253" s="10">
        <v>9.6397058823529402</v>
      </c>
      <c r="I253" s="8" t="s">
        <v>39</v>
      </c>
      <c r="J253" s="8" t="s">
        <v>820</v>
      </c>
      <c r="K253" s="8" t="s">
        <v>33</v>
      </c>
      <c r="L253" s="8" t="s">
        <v>980</v>
      </c>
      <c r="M253" s="15" t="str">
        <f t="shared" ref="M253:M258" si="1">HYPERLINK("http://slimages.macys.com/is/image/MCY/3073694 ")</f>
        <v xml:space="preserve">http://slimages.macys.com/is/image/MCY/3073694 </v>
      </c>
      <c r="N253" s="13"/>
    </row>
    <row r="254" spans="1:14" ht="48" x14ac:dyDescent="0.25">
      <c r="A254" s="14" t="s">
        <v>1558</v>
      </c>
      <c r="B254" s="8" t="s">
        <v>1559</v>
      </c>
      <c r="C254" s="9">
        <v>1</v>
      </c>
      <c r="D254" s="10">
        <v>24.99</v>
      </c>
      <c r="E254" s="9">
        <v>15824505</v>
      </c>
      <c r="F254" s="8" t="s">
        <v>38</v>
      </c>
      <c r="G254" s="14" t="s">
        <v>1560</v>
      </c>
      <c r="H254" s="10">
        <v>4.8176470588235292</v>
      </c>
      <c r="I254" s="8" t="s">
        <v>39</v>
      </c>
      <c r="J254" s="8" t="s">
        <v>820</v>
      </c>
      <c r="K254" s="8" t="s">
        <v>33</v>
      </c>
      <c r="L254" s="8" t="s">
        <v>980</v>
      </c>
      <c r="M254" s="15" t="str">
        <f t="shared" si="1"/>
        <v xml:space="preserve">http://slimages.macys.com/is/image/MCY/3073694 </v>
      </c>
      <c r="N254" s="13"/>
    </row>
    <row r="255" spans="1:14" ht="48" x14ac:dyDescent="0.25">
      <c r="A255" s="14" t="s">
        <v>1558</v>
      </c>
      <c r="B255" s="8" t="s">
        <v>1559</v>
      </c>
      <c r="C255" s="9">
        <v>1</v>
      </c>
      <c r="D255" s="10">
        <v>24.99</v>
      </c>
      <c r="E255" s="9">
        <v>15824505</v>
      </c>
      <c r="F255" s="8" t="s">
        <v>38</v>
      </c>
      <c r="G255" s="14" t="s">
        <v>1560</v>
      </c>
      <c r="H255" s="10">
        <v>4.8176470588235292</v>
      </c>
      <c r="I255" s="8" t="s">
        <v>39</v>
      </c>
      <c r="J255" s="8" t="s">
        <v>820</v>
      </c>
      <c r="K255" s="8" t="s">
        <v>33</v>
      </c>
      <c r="L255" s="8" t="s">
        <v>980</v>
      </c>
      <c r="M255" s="15" t="str">
        <f t="shared" si="1"/>
        <v xml:space="preserve">http://slimages.macys.com/is/image/MCY/3073694 </v>
      </c>
      <c r="N255" s="13"/>
    </row>
    <row r="256" spans="1:14" ht="48" x14ac:dyDescent="0.25">
      <c r="A256" s="14" t="s">
        <v>818</v>
      </c>
      <c r="B256" s="8" t="s">
        <v>819</v>
      </c>
      <c r="C256" s="9">
        <v>1</v>
      </c>
      <c r="D256" s="10">
        <v>59.99</v>
      </c>
      <c r="E256" s="9">
        <v>15831238</v>
      </c>
      <c r="F256" s="8" t="s">
        <v>458</v>
      </c>
      <c r="G256" s="14"/>
      <c r="H256" s="10">
        <v>11.567647058823528</v>
      </c>
      <c r="I256" s="8" t="s">
        <v>39</v>
      </c>
      <c r="J256" s="8" t="s">
        <v>820</v>
      </c>
      <c r="K256" s="8" t="s">
        <v>33</v>
      </c>
      <c r="L256" s="8" t="s">
        <v>214</v>
      </c>
      <c r="M256" s="15" t="str">
        <f t="shared" si="1"/>
        <v xml:space="preserve">http://slimages.macys.com/is/image/MCY/3073694 </v>
      </c>
      <c r="N256" s="13"/>
    </row>
    <row r="257" spans="1:14" ht="48" x14ac:dyDescent="0.25">
      <c r="A257" s="14" t="s">
        <v>1202</v>
      </c>
      <c r="B257" s="8" t="s">
        <v>1203</v>
      </c>
      <c r="C257" s="9">
        <v>2</v>
      </c>
      <c r="D257" s="10">
        <v>39.99</v>
      </c>
      <c r="E257" s="9">
        <v>15831038</v>
      </c>
      <c r="F257" s="8" t="s">
        <v>458</v>
      </c>
      <c r="G257" s="14"/>
      <c r="H257" s="10">
        <v>7.7117647058823522</v>
      </c>
      <c r="I257" s="8" t="s">
        <v>39</v>
      </c>
      <c r="J257" s="8" t="s">
        <v>820</v>
      </c>
      <c r="K257" s="8" t="s">
        <v>33</v>
      </c>
      <c r="L257" s="8" t="s">
        <v>980</v>
      </c>
      <c r="M257" s="15" t="str">
        <f t="shared" si="1"/>
        <v xml:space="preserve">http://slimages.macys.com/is/image/MCY/3073694 </v>
      </c>
      <c r="N257" s="13"/>
    </row>
    <row r="258" spans="1:14" ht="48" x14ac:dyDescent="0.25">
      <c r="A258" s="14" t="s">
        <v>1200</v>
      </c>
      <c r="B258" s="8" t="s">
        <v>1201</v>
      </c>
      <c r="C258" s="9">
        <v>1</v>
      </c>
      <c r="D258" s="10">
        <v>39.99</v>
      </c>
      <c r="E258" s="9">
        <v>16718038</v>
      </c>
      <c r="F258" s="8" t="s">
        <v>979</v>
      </c>
      <c r="G258" s="14"/>
      <c r="H258" s="10">
        <v>7.7117647058823522</v>
      </c>
      <c r="I258" s="8" t="s">
        <v>39</v>
      </c>
      <c r="J258" s="8" t="s">
        <v>820</v>
      </c>
      <c r="K258" s="8" t="s">
        <v>33</v>
      </c>
      <c r="L258" s="8" t="s">
        <v>980</v>
      </c>
      <c r="M258" s="15" t="str">
        <f t="shared" si="1"/>
        <v xml:space="preserve">http://slimages.macys.com/is/image/MCY/3073694 </v>
      </c>
      <c r="N258" s="13"/>
    </row>
    <row r="259" spans="1:14" ht="36" x14ac:dyDescent="0.25">
      <c r="A259" s="14" t="s">
        <v>1573</v>
      </c>
      <c r="B259" s="8" t="s">
        <v>1574</v>
      </c>
      <c r="C259" s="9">
        <v>2</v>
      </c>
      <c r="D259" s="10">
        <v>19.989999999999998</v>
      </c>
      <c r="E259" s="9" t="s">
        <v>1575</v>
      </c>
      <c r="F259" s="8"/>
      <c r="G259" s="14" t="s">
        <v>1576</v>
      </c>
      <c r="H259" s="10">
        <v>4.7352941176470589</v>
      </c>
      <c r="I259" s="8" t="s">
        <v>47</v>
      </c>
      <c r="J259" s="8" t="s">
        <v>761</v>
      </c>
      <c r="K259" s="8"/>
      <c r="L259" s="8"/>
      <c r="M259" s="15" t="str">
        <f>HYPERLINK("http://slimages.macys.com/is/image/MCY/17529068 ")</f>
        <v xml:space="preserve">http://slimages.macys.com/is/image/MCY/17529068 </v>
      </c>
      <c r="N259" s="13"/>
    </row>
    <row r="260" spans="1:14" ht="36" x14ac:dyDescent="0.25">
      <c r="A260" s="14" t="s">
        <v>758</v>
      </c>
      <c r="B260" s="8" t="s">
        <v>759</v>
      </c>
      <c r="C260" s="9">
        <v>1</v>
      </c>
      <c r="D260" s="10">
        <v>59.99</v>
      </c>
      <c r="E260" s="9" t="s">
        <v>760</v>
      </c>
      <c r="F260" s="8" t="s">
        <v>85</v>
      </c>
      <c r="G260" s="14"/>
      <c r="H260" s="10">
        <v>12.203676470588235</v>
      </c>
      <c r="I260" s="8" t="s">
        <v>47</v>
      </c>
      <c r="J260" s="8" t="s">
        <v>761</v>
      </c>
      <c r="K260" s="8"/>
      <c r="L260" s="8"/>
      <c r="M260" s="15" t="str">
        <f>HYPERLINK("http://slimages.macys.com/is/image/MCY/17806527 ")</f>
        <v xml:space="preserve">http://slimages.macys.com/is/image/MCY/17806527 </v>
      </c>
      <c r="N260" s="13"/>
    </row>
    <row r="261" spans="1:14" ht="36" x14ac:dyDescent="0.25">
      <c r="A261" s="14" t="s">
        <v>1239</v>
      </c>
      <c r="B261" s="8" t="s">
        <v>1240</v>
      </c>
      <c r="C261" s="9">
        <v>1</v>
      </c>
      <c r="D261" s="10">
        <v>29.99</v>
      </c>
      <c r="E261" s="9" t="s">
        <v>1241</v>
      </c>
      <c r="F261" s="8" t="s">
        <v>152</v>
      </c>
      <c r="G261" s="14"/>
      <c r="H261" s="10">
        <v>7.4632352941176467</v>
      </c>
      <c r="I261" s="8" t="s">
        <v>47</v>
      </c>
      <c r="J261" s="8" t="s">
        <v>761</v>
      </c>
      <c r="K261" s="8"/>
      <c r="L261" s="8"/>
      <c r="M261" s="15" t="str">
        <f>HYPERLINK("http://slimages.macys.com/is/image/MCY/17566505 ")</f>
        <v xml:space="preserve">http://slimages.macys.com/is/image/MCY/17566505 </v>
      </c>
      <c r="N261" s="13"/>
    </row>
    <row r="262" spans="1:14" ht="36" x14ac:dyDescent="0.25">
      <c r="A262" s="14" t="s">
        <v>1767</v>
      </c>
      <c r="B262" s="8" t="s">
        <v>1768</v>
      </c>
      <c r="C262" s="9">
        <v>1</v>
      </c>
      <c r="D262" s="10">
        <v>12.99</v>
      </c>
      <c r="E262" s="9" t="s">
        <v>1769</v>
      </c>
      <c r="F262" s="8" t="s">
        <v>118</v>
      </c>
      <c r="G262" s="14"/>
      <c r="H262" s="10">
        <v>3.0625</v>
      </c>
      <c r="I262" s="8" t="s">
        <v>47</v>
      </c>
      <c r="J262" s="8" t="s">
        <v>761</v>
      </c>
      <c r="K262" s="8" t="s">
        <v>33</v>
      </c>
      <c r="L262" s="8" t="s">
        <v>200</v>
      </c>
      <c r="M262" s="15" t="str">
        <f>HYPERLINK("http://slimages.macys.com/is/image/MCY/16008398 ")</f>
        <v xml:space="preserve">http://slimages.macys.com/is/image/MCY/16008398 </v>
      </c>
      <c r="N262" s="13"/>
    </row>
    <row r="263" spans="1:14" ht="36" x14ac:dyDescent="0.25">
      <c r="A263" s="14" t="s">
        <v>1767</v>
      </c>
      <c r="B263" s="8" t="s">
        <v>1768</v>
      </c>
      <c r="C263" s="9">
        <v>1</v>
      </c>
      <c r="D263" s="10">
        <v>12.99</v>
      </c>
      <c r="E263" s="9" t="s">
        <v>1769</v>
      </c>
      <c r="F263" s="8" t="s">
        <v>118</v>
      </c>
      <c r="G263" s="14"/>
      <c r="H263" s="10">
        <v>3.0625</v>
      </c>
      <c r="I263" s="8" t="s">
        <v>47</v>
      </c>
      <c r="J263" s="8" t="s">
        <v>761</v>
      </c>
      <c r="K263" s="8" t="s">
        <v>33</v>
      </c>
      <c r="L263" s="8" t="s">
        <v>200</v>
      </c>
      <c r="M263" s="15" t="str">
        <f>HYPERLINK("http://slimages.macys.com/is/image/MCY/16008398 ")</f>
        <v xml:space="preserve">http://slimages.macys.com/is/image/MCY/16008398 </v>
      </c>
      <c r="N263" s="13"/>
    </row>
    <row r="264" spans="1:14" ht="36" x14ac:dyDescent="0.25">
      <c r="A264" s="14" t="s">
        <v>1767</v>
      </c>
      <c r="B264" s="8" t="s">
        <v>1768</v>
      </c>
      <c r="C264" s="9">
        <v>1</v>
      </c>
      <c r="D264" s="10">
        <v>12.99</v>
      </c>
      <c r="E264" s="9" t="s">
        <v>1769</v>
      </c>
      <c r="F264" s="8" t="s">
        <v>118</v>
      </c>
      <c r="G264" s="14"/>
      <c r="H264" s="10">
        <v>3.0625</v>
      </c>
      <c r="I264" s="8" t="s">
        <v>47</v>
      </c>
      <c r="J264" s="8" t="s">
        <v>761</v>
      </c>
      <c r="K264" s="8" t="s">
        <v>33</v>
      </c>
      <c r="L264" s="8" t="s">
        <v>200</v>
      </c>
      <c r="M264" s="15" t="str">
        <f>HYPERLINK("http://slimages.macys.com/is/image/MCY/16008398 ")</f>
        <v xml:space="preserve">http://slimages.macys.com/is/image/MCY/16008398 </v>
      </c>
      <c r="N264" s="13"/>
    </row>
    <row r="265" spans="1:14" ht="36" x14ac:dyDescent="0.25">
      <c r="A265" s="14" t="s">
        <v>1899</v>
      </c>
      <c r="B265" s="8" t="s">
        <v>1900</v>
      </c>
      <c r="C265" s="9">
        <v>1</v>
      </c>
      <c r="D265" s="10">
        <v>12.99</v>
      </c>
      <c r="E265" s="9" t="s">
        <v>1901</v>
      </c>
      <c r="F265" s="8" t="s">
        <v>1069</v>
      </c>
      <c r="G265" s="14"/>
      <c r="H265" s="10">
        <v>2.8463235294117646</v>
      </c>
      <c r="I265" s="8" t="s">
        <v>47</v>
      </c>
      <c r="J265" s="8" t="s">
        <v>761</v>
      </c>
      <c r="K265" s="8"/>
      <c r="L265" s="8"/>
      <c r="M265" s="15"/>
      <c r="N265" s="13"/>
    </row>
    <row r="266" spans="1:14" ht="36" x14ac:dyDescent="0.25">
      <c r="A266" s="14" t="s">
        <v>1790</v>
      </c>
      <c r="B266" s="8" t="s">
        <v>1791</v>
      </c>
      <c r="C266" s="9">
        <v>2</v>
      </c>
      <c r="D266" s="10">
        <v>12.99</v>
      </c>
      <c r="E266" s="9" t="s">
        <v>1792</v>
      </c>
      <c r="F266" s="8" t="s">
        <v>469</v>
      </c>
      <c r="G266" s="14"/>
      <c r="H266" s="10">
        <v>2.8463235294117646</v>
      </c>
      <c r="I266" s="8" t="s">
        <v>47</v>
      </c>
      <c r="J266" s="8" t="s">
        <v>761</v>
      </c>
      <c r="K266" s="8"/>
      <c r="L266" s="8"/>
      <c r="M266" s="15" t="str">
        <f>HYPERLINK("http://slimages.macys.com/is/image/MCY/17566496 ")</f>
        <v xml:space="preserve">http://slimages.macys.com/is/image/MCY/17566496 </v>
      </c>
      <c r="N266" s="13"/>
    </row>
    <row r="267" spans="1:14" ht="48" x14ac:dyDescent="0.25">
      <c r="A267" s="14" t="s">
        <v>448</v>
      </c>
      <c r="B267" s="8" t="s">
        <v>449</v>
      </c>
      <c r="C267" s="9">
        <v>1</v>
      </c>
      <c r="D267" s="10">
        <v>99.99</v>
      </c>
      <c r="E267" s="9">
        <v>600657411004</v>
      </c>
      <c r="F267" s="8" t="s">
        <v>118</v>
      </c>
      <c r="G267" s="14" t="s">
        <v>450</v>
      </c>
      <c r="H267" s="10">
        <v>19.852941176470587</v>
      </c>
      <c r="I267" s="8" t="s">
        <v>66</v>
      </c>
      <c r="J267" s="8" t="s">
        <v>67</v>
      </c>
      <c r="K267" s="8" t="s">
        <v>33</v>
      </c>
      <c r="L267" s="8"/>
      <c r="M267" s="15" t="str">
        <f>HYPERLINK("http://slimages.macys.com/is/image/MCY/8618620 ")</f>
        <v xml:space="preserve">http://slimages.macys.com/is/image/MCY/8618620 </v>
      </c>
      <c r="N267" s="13"/>
    </row>
    <row r="268" spans="1:14" ht="60" x14ac:dyDescent="0.25">
      <c r="A268" s="14" t="s">
        <v>328</v>
      </c>
      <c r="B268" s="8" t="s">
        <v>329</v>
      </c>
      <c r="C268" s="9">
        <v>2</v>
      </c>
      <c r="D268" s="10">
        <v>119.99</v>
      </c>
      <c r="E268" s="9" t="s">
        <v>330</v>
      </c>
      <c r="F268" s="8" t="s">
        <v>38</v>
      </c>
      <c r="G268" s="14"/>
      <c r="H268" s="10">
        <v>23.373529411764704</v>
      </c>
      <c r="I268" s="8" t="s">
        <v>89</v>
      </c>
      <c r="J268" s="8" t="s">
        <v>331</v>
      </c>
      <c r="K268" s="8" t="s">
        <v>33</v>
      </c>
      <c r="L268" s="8" t="s">
        <v>56</v>
      </c>
      <c r="M268" s="15" t="str">
        <f>HYPERLINK("http://slimages.macys.com/is/image/MCY/11503587 ")</f>
        <v xml:space="preserve">http://slimages.macys.com/is/image/MCY/11503587 </v>
      </c>
      <c r="N268" s="13"/>
    </row>
    <row r="269" spans="1:14" ht="48" x14ac:dyDescent="0.25">
      <c r="A269" s="14" t="s">
        <v>604</v>
      </c>
      <c r="B269" s="8" t="s">
        <v>605</v>
      </c>
      <c r="C269" s="9">
        <v>1</v>
      </c>
      <c r="D269" s="10">
        <v>79.989999999999995</v>
      </c>
      <c r="E269" s="9">
        <v>600657359004</v>
      </c>
      <c r="F269" s="8" t="s">
        <v>85</v>
      </c>
      <c r="G269" s="14" t="s">
        <v>100</v>
      </c>
      <c r="H269" s="10">
        <v>15.882352941176471</v>
      </c>
      <c r="I269" s="8" t="s">
        <v>66</v>
      </c>
      <c r="J269" s="8" t="s">
        <v>67</v>
      </c>
      <c r="K269" s="8" t="s">
        <v>33</v>
      </c>
      <c r="L269" s="8" t="s">
        <v>214</v>
      </c>
      <c r="M269" s="15" t="str">
        <f>HYPERLINK("http://slimages.macys.com/is/image/MCY/8618652 ")</f>
        <v xml:space="preserve">http://slimages.macys.com/is/image/MCY/8618652 </v>
      </c>
      <c r="N269" s="13"/>
    </row>
    <row r="270" spans="1:14" ht="48" x14ac:dyDescent="0.25">
      <c r="A270" s="14" t="s">
        <v>63</v>
      </c>
      <c r="B270" s="8" t="s">
        <v>64</v>
      </c>
      <c r="C270" s="9">
        <v>1</v>
      </c>
      <c r="D270" s="10">
        <v>229.99</v>
      </c>
      <c r="E270" s="9">
        <v>600713943001</v>
      </c>
      <c r="F270" s="8" t="s">
        <v>65</v>
      </c>
      <c r="G270" s="14"/>
      <c r="H270" s="10">
        <v>45.661764705882348</v>
      </c>
      <c r="I270" s="8" t="s">
        <v>66</v>
      </c>
      <c r="J270" s="8" t="s">
        <v>67</v>
      </c>
      <c r="K270" s="8" t="s">
        <v>33</v>
      </c>
      <c r="L270" s="8" t="s">
        <v>68</v>
      </c>
      <c r="M270" s="15" t="str">
        <f>HYPERLINK("http://slimages.macys.com/is/image/MCY/8618579 ")</f>
        <v xml:space="preserve">http://slimages.macys.com/is/image/MCY/8618579 </v>
      </c>
      <c r="N270" s="13"/>
    </row>
    <row r="271" spans="1:14" ht="36" x14ac:dyDescent="0.25">
      <c r="A271" s="14" t="s">
        <v>1377</v>
      </c>
      <c r="B271" s="8" t="s">
        <v>1378</v>
      </c>
      <c r="C271" s="9">
        <v>1</v>
      </c>
      <c r="D271" s="10">
        <v>34.99</v>
      </c>
      <c r="E271" s="9" t="s">
        <v>1379</v>
      </c>
      <c r="F271" s="8" t="s">
        <v>355</v>
      </c>
      <c r="G271" s="14"/>
      <c r="H271" s="10">
        <v>6.1764705882352944</v>
      </c>
      <c r="I271" s="8" t="s">
        <v>673</v>
      </c>
      <c r="J271" s="8" t="s">
        <v>1380</v>
      </c>
      <c r="K271" s="8" t="s">
        <v>33</v>
      </c>
      <c r="L271" s="8" t="s">
        <v>200</v>
      </c>
      <c r="M271" s="15" t="str">
        <f>HYPERLINK("http://slimages.macys.com/is/image/MCY/16277848 ")</f>
        <v xml:space="preserve">http://slimages.macys.com/is/image/MCY/16277848 </v>
      </c>
      <c r="N271" s="13"/>
    </row>
    <row r="272" spans="1:14" ht="36" x14ac:dyDescent="0.25">
      <c r="A272" s="14" t="s">
        <v>1132</v>
      </c>
      <c r="B272" s="8" t="s">
        <v>1133</v>
      </c>
      <c r="C272" s="9">
        <v>1</v>
      </c>
      <c r="D272" s="10">
        <v>39.99</v>
      </c>
      <c r="E272" s="9" t="s">
        <v>1134</v>
      </c>
      <c r="F272" s="8" t="s">
        <v>118</v>
      </c>
      <c r="G272" s="14"/>
      <c r="H272" s="10">
        <v>8.235294117647058</v>
      </c>
      <c r="I272" s="8" t="s">
        <v>47</v>
      </c>
      <c r="J272" s="8" t="s">
        <v>1135</v>
      </c>
      <c r="K272" s="8"/>
      <c r="L272" s="8"/>
      <c r="M272" s="15" t="str">
        <f>HYPERLINK("http://slimages.macys.com/is/image/MCY/17860582 ")</f>
        <v xml:space="preserve">http://slimages.macys.com/is/image/MCY/17860582 </v>
      </c>
      <c r="N272" s="13"/>
    </row>
    <row r="273" spans="1:14" ht="36" x14ac:dyDescent="0.25">
      <c r="A273" s="14" t="s">
        <v>1136</v>
      </c>
      <c r="B273" s="8" t="s">
        <v>1137</v>
      </c>
      <c r="C273" s="9">
        <v>2</v>
      </c>
      <c r="D273" s="10">
        <v>47.99</v>
      </c>
      <c r="E273" s="9" t="s">
        <v>1138</v>
      </c>
      <c r="F273" s="8" t="s">
        <v>30</v>
      </c>
      <c r="G273" s="14" t="s">
        <v>450</v>
      </c>
      <c r="H273" s="10">
        <v>8.235294117647058</v>
      </c>
      <c r="I273" s="8" t="s">
        <v>47</v>
      </c>
      <c r="J273" s="8" t="s">
        <v>1135</v>
      </c>
      <c r="K273" s="8" t="s">
        <v>33</v>
      </c>
      <c r="L273" s="8" t="s">
        <v>214</v>
      </c>
      <c r="M273" s="15" t="str">
        <f>HYPERLINK("http://slimages.macys.com/is/image/MCY/11629939 ")</f>
        <v xml:space="preserve">http://slimages.macys.com/is/image/MCY/11629939 </v>
      </c>
      <c r="N273" s="13"/>
    </row>
    <row r="274" spans="1:14" ht="36" x14ac:dyDescent="0.25">
      <c r="A274" s="14" t="s">
        <v>624</v>
      </c>
      <c r="B274" s="8" t="s">
        <v>625</v>
      </c>
      <c r="C274" s="9">
        <v>1</v>
      </c>
      <c r="D274" s="10">
        <v>84.99</v>
      </c>
      <c r="E274" s="9" t="s">
        <v>626</v>
      </c>
      <c r="F274" s="8"/>
      <c r="G274" s="14"/>
      <c r="H274" s="10">
        <v>14.554411764705881</v>
      </c>
      <c r="I274" s="8" t="s">
        <v>31</v>
      </c>
      <c r="J274" s="8" t="s">
        <v>627</v>
      </c>
      <c r="K274" s="8"/>
      <c r="L274" s="8"/>
      <c r="M274" s="15" t="str">
        <f>HYPERLINK("http://slimages.macys.com/is/image/MCY/19006701 ")</f>
        <v xml:space="preserve">http://slimages.macys.com/is/image/MCY/19006701 </v>
      </c>
      <c r="N274" s="13"/>
    </row>
    <row r="275" spans="1:14" ht="48" x14ac:dyDescent="0.25">
      <c r="A275" s="14" t="s">
        <v>1630</v>
      </c>
      <c r="B275" s="8" t="s">
        <v>1631</v>
      </c>
      <c r="C275" s="9">
        <v>2</v>
      </c>
      <c r="D275" s="10">
        <v>17.989999999999998</v>
      </c>
      <c r="E275" s="9" t="s">
        <v>1632</v>
      </c>
      <c r="F275" s="8" t="s">
        <v>96</v>
      </c>
      <c r="G275" s="14" t="s">
        <v>1633</v>
      </c>
      <c r="H275" s="10">
        <v>4.2441176470588236</v>
      </c>
      <c r="I275" s="8" t="s">
        <v>699</v>
      </c>
      <c r="J275" s="8" t="s">
        <v>1634</v>
      </c>
      <c r="K275" s="8" t="s">
        <v>33</v>
      </c>
      <c r="L275" s="8" t="s">
        <v>1635</v>
      </c>
      <c r="M275" s="15" t="str">
        <f>HYPERLINK("http://slimages.macys.com/is/image/MCY/14366883 ")</f>
        <v xml:space="preserve">http://slimages.macys.com/is/image/MCY/14366883 </v>
      </c>
      <c r="N275" s="13"/>
    </row>
    <row r="276" spans="1:14" ht="36" x14ac:dyDescent="0.25">
      <c r="A276" s="14" t="s">
        <v>323</v>
      </c>
      <c r="B276" s="8" t="s">
        <v>324</v>
      </c>
      <c r="C276" s="9">
        <v>1</v>
      </c>
      <c r="D276" s="10">
        <v>126.99</v>
      </c>
      <c r="E276" s="9" t="s">
        <v>325</v>
      </c>
      <c r="F276" s="8" t="s">
        <v>326</v>
      </c>
      <c r="G276" s="14"/>
      <c r="H276" s="10">
        <v>23.377941176470586</v>
      </c>
      <c r="I276" s="8" t="s">
        <v>101</v>
      </c>
      <c r="J276" s="8" t="s">
        <v>279</v>
      </c>
      <c r="K276" s="8" t="s">
        <v>33</v>
      </c>
      <c r="L276" s="8" t="s">
        <v>327</v>
      </c>
      <c r="M276" s="15" t="str">
        <f>HYPERLINK("http://slimages.macys.com/is/image/MCY/16125748 ")</f>
        <v xml:space="preserve">http://slimages.macys.com/is/image/MCY/16125748 </v>
      </c>
      <c r="N276" s="13"/>
    </row>
    <row r="277" spans="1:14" ht="36" x14ac:dyDescent="0.25">
      <c r="A277" s="14" t="s">
        <v>471</v>
      </c>
      <c r="B277" s="8" t="s">
        <v>472</v>
      </c>
      <c r="C277" s="9">
        <v>1</v>
      </c>
      <c r="D277" s="10">
        <v>104.99</v>
      </c>
      <c r="E277" s="9" t="s">
        <v>473</v>
      </c>
      <c r="F277" s="8" t="s">
        <v>217</v>
      </c>
      <c r="G277" s="14"/>
      <c r="H277" s="10">
        <v>19.188235294117646</v>
      </c>
      <c r="I277" s="8" t="s">
        <v>101</v>
      </c>
      <c r="J277" s="8" t="s">
        <v>279</v>
      </c>
      <c r="K277" s="8" t="s">
        <v>33</v>
      </c>
      <c r="L277" s="8" t="s">
        <v>327</v>
      </c>
      <c r="M277" s="15" t="str">
        <f>HYPERLINK("http://slimages.macys.com/is/image/MCY/15208758 ")</f>
        <v xml:space="preserve">http://slimages.macys.com/is/image/MCY/15208758 </v>
      </c>
      <c r="N277" s="13"/>
    </row>
    <row r="278" spans="1:14" ht="36" x14ac:dyDescent="0.25">
      <c r="A278" s="14" t="s">
        <v>474</v>
      </c>
      <c r="B278" s="8" t="s">
        <v>475</v>
      </c>
      <c r="C278" s="9">
        <v>1</v>
      </c>
      <c r="D278" s="10">
        <v>103.99</v>
      </c>
      <c r="E278" s="9" t="s">
        <v>476</v>
      </c>
      <c r="F278" s="8" t="s">
        <v>469</v>
      </c>
      <c r="G278" s="14"/>
      <c r="H278" s="10">
        <v>19.141911764705881</v>
      </c>
      <c r="I278" s="8" t="s">
        <v>101</v>
      </c>
      <c r="J278" s="8" t="s">
        <v>279</v>
      </c>
      <c r="K278" s="8" t="s">
        <v>33</v>
      </c>
      <c r="L278" s="8" t="s">
        <v>327</v>
      </c>
      <c r="M278" s="15" t="str">
        <f>HYPERLINK("http://slimages.macys.com/is/image/MCY/13790717 ")</f>
        <v xml:space="preserve">http://slimages.macys.com/is/image/MCY/13790717 </v>
      </c>
      <c r="N278" s="13"/>
    </row>
    <row r="279" spans="1:14" ht="36" x14ac:dyDescent="0.25">
      <c r="A279" s="14" t="s">
        <v>332</v>
      </c>
      <c r="B279" s="8" t="s">
        <v>333</v>
      </c>
      <c r="C279" s="9">
        <v>1</v>
      </c>
      <c r="D279" s="10">
        <v>119.99</v>
      </c>
      <c r="E279" s="9" t="s">
        <v>334</v>
      </c>
      <c r="F279" s="8" t="s">
        <v>30</v>
      </c>
      <c r="G279" s="14"/>
      <c r="H279" s="10">
        <v>23.285294117647055</v>
      </c>
      <c r="I279" s="8" t="s">
        <v>335</v>
      </c>
      <c r="J279" s="8" t="s">
        <v>336</v>
      </c>
      <c r="K279" s="8" t="s">
        <v>33</v>
      </c>
      <c r="L279" s="8"/>
      <c r="M279" s="15" t="str">
        <f>HYPERLINK("http://slimages.macys.com/is/image/MCY/9396665 ")</f>
        <v xml:space="preserve">http://slimages.macys.com/is/image/MCY/9396665 </v>
      </c>
      <c r="N279" s="13"/>
    </row>
    <row r="280" spans="1:14" ht="48" x14ac:dyDescent="0.25">
      <c r="A280" s="14" t="s">
        <v>1139</v>
      </c>
      <c r="B280" s="8" t="s">
        <v>1140</v>
      </c>
      <c r="C280" s="9">
        <v>1</v>
      </c>
      <c r="D280" s="10">
        <v>39.99</v>
      </c>
      <c r="E280" s="9" t="s">
        <v>1141</v>
      </c>
      <c r="F280" s="8" t="s">
        <v>30</v>
      </c>
      <c r="G280" s="14"/>
      <c r="H280" s="10">
        <v>8.2270588235294113</v>
      </c>
      <c r="I280" s="8" t="s">
        <v>402</v>
      </c>
      <c r="J280" s="8" t="s">
        <v>270</v>
      </c>
      <c r="K280" s="8" t="s">
        <v>33</v>
      </c>
      <c r="L280" s="8" t="s">
        <v>200</v>
      </c>
      <c r="M280" s="15" t="str">
        <f>HYPERLINK("http://slimages.macys.com/is/image/MCY/10020572 ")</f>
        <v xml:space="preserve">http://slimages.macys.com/is/image/MCY/10020572 </v>
      </c>
      <c r="N280" s="13"/>
    </row>
    <row r="281" spans="1:14" ht="48" x14ac:dyDescent="0.25">
      <c r="A281" s="14" t="s">
        <v>407</v>
      </c>
      <c r="B281" s="8" t="s">
        <v>408</v>
      </c>
      <c r="C281" s="9">
        <v>1</v>
      </c>
      <c r="D281" s="10">
        <v>119.99</v>
      </c>
      <c r="E281" s="9" t="s">
        <v>409</v>
      </c>
      <c r="F281" s="8" t="s">
        <v>118</v>
      </c>
      <c r="G281" s="14"/>
      <c r="H281" s="10">
        <v>20.897058823529413</v>
      </c>
      <c r="I281" s="8" t="s">
        <v>47</v>
      </c>
      <c r="J281" s="8" t="s">
        <v>270</v>
      </c>
      <c r="K281" s="8" t="s">
        <v>33</v>
      </c>
      <c r="L281" s="8" t="s">
        <v>200</v>
      </c>
      <c r="M281" s="15" t="str">
        <f>HYPERLINK("http://slimages.macys.com/is/image/MCY/15422956 ")</f>
        <v xml:space="preserve">http://slimages.macys.com/is/image/MCY/15422956 </v>
      </c>
      <c r="N281" s="13"/>
    </row>
    <row r="282" spans="1:14" ht="48" x14ac:dyDescent="0.25">
      <c r="A282" s="14" t="s">
        <v>571</v>
      </c>
      <c r="B282" s="8" t="s">
        <v>572</v>
      </c>
      <c r="C282" s="9">
        <v>3</v>
      </c>
      <c r="D282" s="10">
        <v>94.99</v>
      </c>
      <c r="E282" s="9" t="s">
        <v>573</v>
      </c>
      <c r="F282" s="8" t="s">
        <v>355</v>
      </c>
      <c r="G282" s="14"/>
      <c r="H282" s="10">
        <v>16.573529411764703</v>
      </c>
      <c r="I282" s="8" t="s">
        <v>47</v>
      </c>
      <c r="J282" s="8" t="s">
        <v>270</v>
      </c>
      <c r="K282" s="8" t="s">
        <v>33</v>
      </c>
      <c r="L282" s="8" t="s">
        <v>200</v>
      </c>
      <c r="M282" s="15" t="str">
        <f>HYPERLINK("http://slimages.macys.com/is/image/MCY/10341288 ")</f>
        <v xml:space="preserve">http://slimages.macys.com/is/image/MCY/10341288 </v>
      </c>
      <c r="N282" s="13"/>
    </row>
    <row r="283" spans="1:14" ht="48" x14ac:dyDescent="0.25">
      <c r="A283" s="14" t="s">
        <v>568</v>
      </c>
      <c r="B283" s="8" t="s">
        <v>569</v>
      </c>
      <c r="C283" s="9">
        <v>1</v>
      </c>
      <c r="D283" s="10">
        <v>94.99</v>
      </c>
      <c r="E283" s="9" t="s">
        <v>570</v>
      </c>
      <c r="F283" s="8" t="s">
        <v>38</v>
      </c>
      <c r="G283" s="14"/>
      <c r="H283" s="10">
        <v>16.573529411764703</v>
      </c>
      <c r="I283" s="8" t="s">
        <v>47</v>
      </c>
      <c r="J283" s="8" t="s">
        <v>270</v>
      </c>
      <c r="K283" s="8" t="s">
        <v>33</v>
      </c>
      <c r="L283" s="8" t="s">
        <v>200</v>
      </c>
      <c r="M283" s="15" t="str">
        <f>HYPERLINK("http://slimages.macys.com/is/image/MCY/10341246 ")</f>
        <v xml:space="preserve">http://slimages.macys.com/is/image/MCY/10341246 </v>
      </c>
      <c r="N283" s="13"/>
    </row>
    <row r="284" spans="1:14" ht="48" x14ac:dyDescent="0.25">
      <c r="A284" s="14" t="s">
        <v>463</v>
      </c>
      <c r="B284" s="8" t="s">
        <v>464</v>
      </c>
      <c r="C284" s="9">
        <v>2</v>
      </c>
      <c r="D284" s="10">
        <v>111.99</v>
      </c>
      <c r="E284" s="9" t="s">
        <v>465</v>
      </c>
      <c r="F284" s="8" t="s">
        <v>30</v>
      </c>
      <c r="G284" s="14"/>
      <c r="H284" s="10">
        <v>19.455882352941174</v>
      </c>
      <c r="I284" s="8" t="s">
        <v>47</v>
      </c>
      <c r="J284" s="8" t="s">
        <v>270</v>
      </c>
      <c r="K284" s="8" t="s">
        <v>33</v>
      </c>
      <c r="L284" s="8" t="s">
        <v>200</v>
      </c>
      <c r="M284" s="15" t="str">
        <f>HYPERLINK("http://slimages.macys.com/is/image/MCY/13813548 ")</f>
        <v xml:space="preserve">http://slimages.macys.com/is/image/MCY/13813548 </v>
      </c>
      <c r="N284" s="13"/>
    </row>
    <row r="285" spans="1:14" ht="48" x14ac:dyDescent="0.25">
      <c r="A285" s="14" t="s">
        <v>266</v>
      </c>
      <c r="B285" s="8" t="s">
        <v>267</v>
      </c>
      <c r="C285" s="9">
        <v>1</v>
      </c>
      <c r="D285" s="10">
        <v>144.99</v>
      </c>
      <c r="E285" s="9" t="s">
        <v>268</v>
      </c>
      <c r="F285" s="8" t="s">
        <v>269</v>
      </c>
      <c r="G285" s="14"/>
      <c r="H285" s="10">
        <v>25.220588235294112</v>
      </c>
      <c r="I285" s="8" t="s">
        <v>47</v>
      </c>
      <c r="J285" s="8" t="s">
        <v>270</v>
      </c>
      <c r="K285" s="8" t="s">
        <v>33</v>
      </c>
      <c r="L285" s="8" t="s">
        <v>271</v>
      </c>
      <c r="M285" s="15" t="str">
        <f>HYPERLINK("http://slimages.macys.com/is/image/MCY/13814261 ")</f>
        <v xml:space="preserve">http://slimages.macys.com/is/image/MCY/13814261 </v>
      </c>
      <c r="N285" s="13"/>
    </row>
    <row r="286" spans="1:14" ht="48" x14ac:dyDescent="0.25">
      <c r="A286" s="14" t="s">
        <v>337</v>
      </c>
      <c r="B286" s="8" t="s">
        <v>338</v>
      </c>
      <c r="C286" s="9">
        <v>1</v>
      </c>
      <c r="D286" s="10">
        <v>131.99</v>
      </c>
      <c r="E286" s="9" t="s">
        <v>339</v>
      </c>
      <c r="F286" s="8" t="s">
        <v>118</v>
      </c>
      <c r="G286" s="14"/>
      <c r="H286" s="10">
        <v>23.058823529411761</v>
      </c>
      <c r="I286" s="8" t="s">
        <v>47</v>
      </c>
      <c r="J286" s="8" t="s">
        <v>270</v>
      </c>
      <c r="K286" s="8" t="s">
        <v>33</v>
      </c>
      <c r="L286" s="8" t="s">
        <v>340</v>
      </c>
      <c r="M286" s="15" t="str">
        <f>HYPERLINK("http://slimages.macys.com/is/image/MCY/13813429 ")</f>
        <v xml:space="preserve">http://slimages.macys.com/is/image/MCY/13813429 </v>
      </c>
      <c r="N286" s="13"/>
    </row>
    <row r="287" spans="1:14" ht="60" x14ac:dyDescent="0.25">
      <c r="A287" s="14" t="s">
        <v>528</v>
      </c>
      <c r="B287" s="8" t="s">
        <v>529</v>
      </c>
      <c r="C287" s="9">
        <v>1</v>
      </c>
      <c r="D287" s="10">
        <v>129.99</v>
      </c>
      <c r="E287" s="9" t="s">
        <v>530</v>
      </c>
      <c r="F287" s="8" t="s">
        <v>269</v>
      </c>
      <c r="G287" s="14"/>
      <c r="H287" s="10">
        <v>17.060294117647057</v>
      </c>
      <c r="I287" s="8" t="s">
        <v>39</v>
      </c>
      <c r="J287" s="8" t="s">
        <v>40</v>
      </c>
      <c r="K287" s="8" t="s">
        <v>33</v>
      </c>
      <c r="L287" s="8" t="s">
        <v>214</v>
      </c>
      <c r="M287" s="15" t="str">
        <f>HYPERLINK("http://slimages.macys.com/is/image/MCY/13531878 ")</f>
        <v xml:space="preserve">http://slimages.macys.com/is/image/MCY/13531878 </v>
      </c>
      <c r="N287" s="13"/>
    </row>
    <row r="288" spans="1:14" ht="60" x14ac:dyDescent="0.25">
      <c r="A288" s="14" t="s">
        <v>543</v>
      </c>
      <c r="B288" s="8" t="s">
        <v>544</v>
      </c>
      <c r="C288" s="9">
        <v>1</v>
      </c>
      <c r="D288" s="10">
        <v>99.99</v>
      </c>
      <c r="E288" s="9">
        <v>226156</v>
      </c>
      <c r="F288" s="8" t="s">
        <v>30</v>
      </c>
      <c r="G288" s="14"/>
      <c r="H288" s="10">
        <v>16.875</v>
      </c>
      <c r="I288" s="8" t="s">
        <v>39</v>
      </c>
      <c r="J288" s="8" t="s">
        <v>40</v>
      </c>
      <c r="K288" s="8" t="s">
        <v>33</v>
      </c>
      <c r="L288" s="8" t="s">
        <v>56</v>
      </c>
      <c r="M288" s="15" t="str">
        <f>HYPERLINK("http://slimages.macys.com/is/image/MCY/12054432 ")</f>
        <v xml:space="preserve">http://slimages.macys.com/is/image/MCY/12054432 </v>
      </c>
      <c r="N288" s="13"/>
    </row>
    <row r="289" spans="1:14" ht="36" x14ac:dyDescent="0.25">
      <c r="A289" s="14" t="s">
        <v>835</v>
      </c>
      <c r="B289" s="8" t="s">
        <v>836</v>
      </c>
      <c r="C289" s="9">
        <v>2</v>
      </c>
      <c r="D289" s="10">
        <v>64.989999999999995</v>
      </c>
      <c r="E289" s="9" t="s">
        <v>837</v>
      </c>
      <c r="F289" s="8" t="s">
        <v>123</v>
      </c>
      <c r="G289" s="14"/>
      <c r="H289" s="10">
        <v>11.323529411764705</v>
      </c>
      <c r="I289" s="8" t="s">
        <v>47</v>
      </c>
      <c r="J289" s="8" t="s">
        <v>838</v>
      </c>
      <c r="K289" s="8" t="s">
        <v>33</v>
      </c>
      <c r="L289" s="8" t="s">
        <v>839</v>
      </c>
      <c r="M289" s="15" t="str">
        <f>HYPERLINK("http://slimages.macys.com/is/image/MCY/16407971 ")</f>
        <v xml:space="preserve">http://slimages.macys.com/is/image/MCY/16407971 </v>
      </c>
      <c r="N289" s="13"/>
    </row>
    <row r="290" spans="1:14" ht="36" x14ac:dyDescent="0.25">
      <c r="A290" s="14" t="s">
        <v>840</v>
      </c>
      <c r="B290" s="8" t="s">
        <v>841</v>
      </c>
      <c r="C290" s="9">
        <v>1</v>
      </c>
      <c r="D290" s="10">
        <v>64.989999999999995</v>
      </c>
      <c r="E290" s="9" t="s">
        <v>842</v>
      </c>
      <c r="F290" s="8" t="s">
        <v>123</v>
      </c>
      <c r="G290" s="14"/>
      <c r="H290" s="10">
        <v>11.323529411764705</v>
      </c>
      <c r="I290" s="8" t="s">
        <v>47</v>
      </c>
      <c r="J290" s="8" t="s">
        <v>838</v>
      </c>
      <c r="K290" s="8" t="s">
        <v>33</v>
      </c>
      <c r="L290" s="8" t="s">
        <v>839</v>
      </c>
      <c r="M290" s="15" t="str">
        <f>HYPERLINK("http://slimages.macys.com/is/image/MCY/16407489 ")</f>
        <v xml:space="preserve">http://slimages.macys.com/is/image/MCY/16407489 </v>
      </c>
      <c r="N290" s="13"/>
    </row>
    <row r="291" spans="1:14" ht="84" x14ac:dyDescent="0.25">
      <c r="A291" s="14" t="s">
        <v>789</v>
      </c>
      <c r="B291" s="8" t="s">
        <v>790</v>
      </c>
      <c r="C291" s="9">
        <v>1</v>
      </c>
      <c r="D291" s="10">
        <v>130.99</v>
      </c>
      <c r="E291" s="9" t="s">
        <v>791</v>
      </c>
      <c r="F291" s="8" t="s">
        <v>38</v>
      </c>
      <c r="G291" s="14"/>
      <c r="H291" s="10">
        <v>11.814705882352941</v>
      </c>
      <c r="I291" s="8" t="s">
        <v>31</v>
      </c>
      <c r="J291" s="8" t="s">
        <v>32</v>
      </c>
      <c r="K291" s="8" t="s">
        <v>33</v>
      </c>
      <c r="L291" s="8" t="s">
        <v>275</v>
      </c>
      <c r="M291" s="15" t="str">
        <f>HYPERLINK("http://slimages.macys.com/is/image/MCY/12932102 ")</f>
        <v xml:space="preserve">http://slimages.macys.com/is/image/MCY/12932102 </v>
      </c>
      <c r="N291" s="13"/>
    </row>
    <row r="292" spans="1:14" ht="84" x14ac:dyDescent="0.25">
      <c r="A292" s="14" t="s">
        <v>272</v>
      </c>
      <c r="B292" s="8" t="s">
        <v>273</v>
      </c>
      <c r="C292" s="9">
        <v>1</v>
      </c>
      <c r="D292" s="10">
        <v>192.99</v>
      </c>
      <c r="E292" s="9" t="s">
        <v>274</v>
      </c>
      <c r="F292" s="8" t="s">
        <v>85</v>
      </c>
      <c r="G292" s="14"/>
      <c r="H292" s="10">
        <v>25.164705882352937</v>
      </c>
      <c r="I292" s="8" t="s">
        <v>31</v>
      </c>
      <c r="J292" s="8" t="s">
        <v>32</v>
      </c>
      <c r="K292" s="8" t="s">
        <v>33</v>
      </c>
      <c r="L292" s="8" t="s">
        <v>275</v>
      </c>
      <c r="M292" s="15" t="str">
        <f>HYPERLINK("http://slimages.macys.com/is/image/MCY/12932102 ")</f>
        <v xml:space="preserve">http://slimages.macys.com/is/image/MCY/12932102 </v>
      </c>
      <c r="N292" s="13"/>
    </row>
    <row r="293" spans="1:14" ht="60" x14ac:dyDescent="0.25">
      <c r="A293" s="14" t="s">
        <v>414</v>
      </c>
      <c r="B293" s="8" t="s">
        <v>273</v>
      </c>
      <c r="C293" s="9">
        <v>1</v>
      </c>
      <c r="D293" s="10">
        <v>160.99</v>
      </c>
      <c r="E293" s="9" t="s">
        <v>415</v>
      </c>
      <c r="F293" s="8" t="s">
        <v>85</v>
      </c>
      <c r="G293" s="14"/>
      <c r="H293" s="10">
        <v>20.576470588235296</v>
      </c>
      <c r="I293" s="8" t="s">
        <v>31</v>
      </c>
      <c r="J293" s="8" t="s">
        <v>32</v>
      </c>
      <c r="K293" s="8" t="s">
        <v>33</v>
      </c>
      <c r="L293" s="8" t="s">
        <v>416</v>
      </c>
      <c r="M293" s="15" t="str">
        <f>HYPERLINK("http://slimages.macys.com/is/image/MCY/12932171 ")</f>
        <v xml:space="preserve">http://slimages.macys.com/is/image/MCY/12932171 </v>
      </c>
      <c r="N293" s="13"/>
    </row>
    <row r="294" spans="1:14" ht="60" x14ac:dyDescent="0.25">
      <c r="A294" s="14" t="s">
        <v>349</v>
      </c>
      <c r="B294" s="8" t="s">
        <v>350</v>
      </c>
      <c r="C294" s="9">
        <v>1</v>
      </c>
      <c r="D294" s="10">
        <v>134.99</v>
      </c>
      <c r="E294" s="9" t="s">
        <v>351</v>
      </c>
      <c r="F294" s="8" t="s">
        <v>118</v>
      </c>
      <c r="G294" s="14"/>
      <c r="H294" s="10">
        <v>22.923529411764704</v>
      </c>
      <c r="I294" s="8" t="s">
        <v>31</v>
      </c>
      <c r="J294" s="8" t="s">
        <v>32</v>
      </c>
      <c r="K294" s="8" t="s">
        <v>33</v>
      </c>
      <c r="L294" s="8" t="s">
        <v>348</v>
      </c>
      <c r="M294" s="15" t="str">
        <f>HYPERLINK("http://slimages.macys.com/is/image/MCY/9627753 ")</f>
        <v xml:space="preserve">http://slimages.macys.com/is/image/MCY/9627753 </v>
      </c>
      <c r="N294" s="13"/>
    </row>
    <row r="295" spans="1:14" ht="60" x14ac:dyDescent="0.25">
      <c r="A295" s="14" t="s">
        <v>345</v>
      </c>
      <c r="B295" s="8" t="s">
        <v>346</v>
      </c>
      <c r="C295" s="9">
        <v>1</v>
      </c>
      <c r="D295" s="10">
        <v>134.99</v>
      </c>
      <c r="E295" s="9" t="s">
        <v>347</v>
      </c>
      <c r="F295" s="8" t="s">
        <v>114</v>
      </c>
      <c r="G295" s="14"/>
      <c r="H295" s="10">
        <v>22.923529411764704</v>
      </c>
      <c r="I295" s="8" t="s">
        <v>31</v>
      </c>
      <c r="J295" s="8" t="s">
        <v>32</v>
      </c>
      <c r="K295" s="8" t="s">
        <v>33</v>
      </c>
      <c r="L295" s="8" t="s">
        <v>348</v>
      </c>
      <c r="M295" s="15" t="str">
        <f>HYPERLINK("http://slimages.macys.com/is/image/MCY/9627753 ")</f>
        <v xml:space="preserve">http://slimages.macys.com/is/image/MCY/9627753 </v>
      </c>
      <c r="N295" s="13"/>
    </row>
    <row r="296" spans="1:14" ht="84" x14ac:dyDescent="0.25">
      <c r="A296" s="14" t="s">
        <v>153</v>
      </c>
      <c r="B296" s="8" t="s">
        <v>154</v>
      </c>
      <c r="C296" s="9">
        <v>1</v>
      </c>
      <c r="D296" s="10">
        <v>169.99</v>
      </c>
      <c r="E296" s="9" t="s">
        <v>155</v>
      </c>
      <c r="F296" s="8" t="s">
        <v>118</v>
      </c>
      <c r="G296" s="14"/>
      <c r="H296" s="10">
        <v>32.113235294117644</v>
      </c>
      <c r="I296" s="8" t="s">
        <v>31</v>
      </c>
      <c r="J296" s="8" t="s">
        <v>32</v>
      </c>
      <c r="K296" s="8" t="s">
        <v>33</v>
      </c>
      <c r="L296" s="8" t="s">
        <v>156</v>
      </c>
      <c r="M296" s="15" t="str">
        <f>HYPERLINK("http://slimages.macys.com/is/image/MCY/9627753 ")</f>
        <v xml:space="preserve">http://slimages.macys.com/is/image/MCY/9627753 </v>
      </c>
      <c r="N296" s="13"/>
    </row>
    <row r="297" spans="1:14" ht="36" x14ac:dyDescent="0.25">
      <c r="A297" s="14" t="s">
        <v>1529</v>
      </c>
      <c r="B297" s="8" t="s">
        <v>1530</v>
      </c>
      <c r="C297" s="9">
        <v>1</v>
      </c>
      <c r="D297" s="10">
        <v>24.99</v>
      </c>
      <c r="E297" s="9" t="s">
        <v>1531</v>
      </c>
      <c r="F297" s="8" t="s">
        <v>132</v>
      </c>
      <c r="G297" s="14"/>
      <c r="H297" s="10">
        <v>5.0338235294117641</v>
      </c>
      <c r="I297" s="8" t="s">
        <v>47</v>
      </c>
      <c r="J297" s="8" t="s">
        <v>32</v>
      </c>
      <c r="K297" s="8" t="s">
        <v>33</v>
      </c>
      <c r="L297" s="8"/>
      <c r="M297" s="15" t="str">
        <f>HYPERLINK("http://slimages.macys.com/is/image/MCY/10010840 ")</f>
        <v xml:space="preserve">http://slimages.macys.com/is/image/MCY/10010840 </v>
      </c>
      <c r="N297" s="13"/>
    </row>
    <row r="298" spans="1:14" ht="36" x14ac:dyDescent="0.25">
      <c r="A298" s="14" t="s">
        <v>222</v>
      </c>
      <c r="B298" s="8" t="s">
        <v>223</v>
      </c>
      <c r="C298" s="9">
        <v>1</v>
      </c>
      <c r="D298" s="10">
        <v>121.99</v>
      </c>
      <c r="E298" s="9" t="s">
        <v>224</v>
      </c>
      <c r="F298" s="8" t="s">
        <v>85</v>
      </c>
      <c r="G298" s="14"/>
      <c r="H298" s="10">
        <v>27.253676470588232</v>
      </c>
      <c r="I298" s="8" t="s">
        <v>47</v>
      </c>
      <c r="J298" s="8" t="s">
        <v>32</v>
      </c>
      <c r="K298" s="8" t="s">
        <v>33</v>
      </c>
      <c r="L298" s="8" t="s">
        <v>225</v>
      </c>
      <c r="M298" s="15" t="str">
        <f>HYPERLINK("http://slimages.macys.com/is/image/MCY/9767715 ")</f>
        <v xml:space="preserve">http://slimages.macys.com/is/image/MCY/9767715 </v>
      </c>
      <c r="N298" s="13"/>
    </row>
    <row r="299" spans="1:14" ht="36" x14ac:dyDescent="0.25">
      <c r="A299" s="14" t="s">
        <v>293</v>
      </c>
      <c r="B299" s="8" t="s">
        <v>294</v>
      </c>
      <c r="C299" s="9">
        <v>1</v>
      </c>
      <c r="D299" s="10">
        <v>127.99</v>
      </c>
      <c r="E299" s="9" t="s">
        <v>295</v>
      </c>
      <c r="F299" s="8" t="s">
        <v>85</v>
      </c>
      <c r="G299" s="14"/>
      <c r="H299" s="10">
        <v>24.485294117647054</v>
      </c>
      <c r="I299" s="8" t="s">
        <v>31</v>
      </c>
      <c r="J299" s="8" t="s">
        <v>32</v>
      </c>
      <c r="K299" s="8" t="s">
        <v>33</v>
      </c>
      <c r="L299" s="8" t="s">
        <v>296</v>
      </c>
      <c r="M299" s="15" t="str">
        <f>HYPERLINK("http://slimages.macys.com/is/image/MCY/9767711 ")</f>
        <v xml:space="preserve">http://slimages.macys.com/is/image/MCY/9767711 </v>
      </c>
      <c r="N299" s="13"/>
    </row>
    <row r="300" spans="1:14" ht="144" x14ac:dyDescent="0.25">
      <c r="A300" s="14" t="s">
        <v>115</v>
      </c>
      <c r="B300" s="8" t="s">
        <v>116</v>
      </c>
      <c r="C300" s="9">
        <v>1</v>
      </c>
      <c r="D300" s="10">
        <v>209.99</v>
      </c>
      <c r="E300" s="9" t="s">
        <v>117</v>
      </c>
      <c r="F300" s="8" t="s">
        <v>118</v>
      </c>
      <c r="G300" s="14"/>
      <c r="H300" s="10">
        <v>36.101470588235294</v>
      </c>
      <c r="I300" s="8" t="s">
        <v>31</v>
      </c>
      <c r="J300" s="8" t="s">
        <v>32</v>
      </c>
      <c r="K300" s="8" t="s">
        <v>33</v>
      </c>
      <c r="L300" s="8" t="s">
        <v>119</v>
      </c>
      <c r="M300" s="15" t="str">
        <f>HYPERLINK("http://slimages.macys.com/is/image/MCY/9627833 ")</f>
        <v xml:space="preserve">http://slimages.macys.com/is/image/MCY/9627833 </v>
      </c>
      <c r="N300" s="13"/>
    </row>
    <row r="301" spans="1:14" ht="36" x14ac:dyDescent="0.25">
      <c r="A301" s="14" t="s">
        <v>984</v>
      </c>
      <c r="B301" s="8" t="s">
        <v>985</v>
      </c>
      <c r="C301" s="9">
        <v>2</v>
      </c>
      <c r="D301" s="10">
        <v>38.99</v>
      </c>
      <c r="E301" s="9" t="s">
        <v>986</v>
      </c>
      <c r="F301" s="8" t="s">
        <v>38</v>
      </c>
      <c r="G301" s="14"/>
      <c r="H301" s="10">
        <v>9.6095588235294116</v>
      </c>
      <c r="I301" s="8" t="s">
        <v>47</v>
      </c>
      <c r="J301" s="8" t="s">
        <v>32</v>
      </c>
      <c r="K301" s="8" t="s">
        <v>33</v>
      </c>
      <c r="L301" s="8" t="s">
        <v>987</v>
      </c>
      <c r="M301" s="15" t="str">
        <f>HYPERLINK("http://slimages.macys.com/is/image/MCY/9534554 ")</f>
        <v xml:space="preserve">http://slimages.macys.com/is/image/MCY/9534554 </v>
      </c>
      <c r="N301" s="13"/>
    </row>
    <row r="302" spans="1:14" ht="36" x14ac:dyDescent="0.25">
      <c r="A302" s="14" t="s">
        <v>290</v>
      </c>
      <c r="B302" s="8" t="s">
        <v>291</v>
      </c>
      <c r="C302" s="9">
        <v>1</v>
      </c>
      <c r="D302" s="10">
        <v>145.99</v>
      </c>
      <c r="E302" s="9" t="s">
        <v>292</v>
      </c>
      <c r="F302" s="8" t="s">
        <v>30</v>
      </c>
      <c r="G302" s="14"/>
      <c r="H302" s="10">
        <v>24.692647058823528</v>
      </c>
      <c r="I302" s="8" t="s">
        <v>31</v>
      </c>
      <c r="J302" s="8" t="s">
        <v>32</v>
      </c>
      <c r="K302" s="8" t="s">
        <v>33</v>
      </c>
      <c r="L302" s="8" t="s">
        <v>234</v>
      </c>
      <c r="M302" s="15" t="str">
        <f>HYPERLINK("http://slimages.macys.com/is/image/MCY/14431473 ")</f>
        <v xml:space="preserve">http://slimages.macys.com/is/image/MCY/14431473 </v>
      </c>
      <c r="N302" s="13"/>
    </row>
    <row r="303" spans="1:14" ht="156" x14ac:dyDescent="0.25">
      <c r="A303" s="14" t="s">
        <v>187</v>
      </c>
      <c r="B303" s="8" t="s">
        <v>188</v>
      </c>
      <c r="C303" s="9">
        <v>1</v>
      </c>
      <c r="D303" s="10">
        <v>169.99</v>
      </c>
      <c r="E303" s="9" t="s">
        <v>189</v>
      </c>
      <c r="F303" s="8" t="s">
        <v>118</v>
      </c>
      <c r="G303" s="14"/>
      <c r="H303" s="10">
        <v>29.735294117647054</v>
      </c>
      <c r="I303" s="8" t="s">
        <v>31</v>
      </c>
      <c r="J303" s="8" t="s">
        <v>32</v>
      </c>
      <c r="K303" s="8" t="s">
        <v>33</v>
      </c>
      <c r="L303" s="8" t="s">
        <v>190</v>
      </c>
      <c r="M303" s="15" t="str">
        <f>HYPERLINK("http://slimages.macys.com/is/image/MCY/9627899 ")</f>
        <v xml:space="preserve">http://slimages.macys.com/is/image/MCY/9627899 </v>
      </c>
      <c r="N303" s="13"/>
    </row>
    <row r="304" spans="1:14" ht="36" x14ac:dyDescent="0.25">
      <c r="A304" s="14" t="s">
        <v>396</v>
      </c>
      <c r="B304" s="8" t="s">
        <v>397</v>
      </c>
      <c r="C304" s="9">
        <v>1</v>
      </c>
      <c r="D304" s="10">
        <v>110.99</v>
      </c>
      <c r="E304" s="9" t="s">
        <v>398</v>
      </c>
      <c r="F304" s="8" t="s">
        <v>38</v>
      </c>
      <c r="G304" s="14"/>
      <c r="H304" s="10">
        <v>21.242647058823529</v>
      </c>
      <c r="I304" s="8" t="s">
        <v>31</v>
      </c>
      <c r="J304" s="8" t="s">
        <v>32</v>
      </c>
      <c r="K304" s="8" t="s">
        <v>33</v>
      </c>
      <c r="L304" s="8" t="s">
        <v>296</v>
      </c>
      <c r="M304" s="15" t="str">
        <f>HYPERLINK("http://slimages.macys.com/is/image/MCY/9767725 ")</f>
        <v xml:space="preserve">http://slimages.macys.com/is/image/MCY/9767725 </v>
      </c>
      <c r="N304" s="13"/>
    </row>
    <row r="305" spans="1:14" ht="36" x14ac:dyDescent="0.25">
      <c r="A305" s="14" t="s">
        <v>1284</v>
      </c>
      <c r="B305" s="8" t="s">
        <v>1285</v>
      </c>
      <c r="C305" s="9">
        <v>1</v>
      </c>
      <c r="D305" s="10">
        <v>24.99</v>
      </c>
      <c r="E305" s="9" t="s">
        <v>1286</v>
      </c>
      <c r="F305" s="8" t="s">
        <v>38</v>
      </c>
      <c r="G305" s="14"/>
      <c r="H305" s="10">
        <v>6.9845588235294116</v>
      </c>
      <c r="I305" s="8" t="s">
        <v>47</v>
      </c>
      <c r="J305" s="8" t="s">
        <v>32</v>
      </c>
      <c r="K305" s="8" t="s">
        <v>33</v>
      </c>
      <c r="L305" s="8"/>
      <c r="M305" s="15" t="str">
        <f>HYPERLINK("http://slimages.macys.com/is/image/MCY/10010840 ")</f>
        <v xml:space="preserve">http://slimages.macys.com/is/image/MCY/10010840 </v>
      </c>
      <c r="N305" s="13"/>
    </row>
    <row r="306" spans="1:14" ht="36" x14ac:dyDescent="0.25">
      <c r="A306" s="14" t="s">
        <v>1287</v>
      </c>
      <c r="B306" s="8" t="s">
        <v>1288</v>
      </c>
      <c r="C306" s="9">
        <v>1</v>
      </c>
      <c r="D306" s="10">
        <v>24.99</v>
      </c>
      <c r="E306" s="9" t="s">
        <v>1289</v>
      </c>
      <c r="F306" s="8" t="s">
        <v>469</v>
      </c>
      <c r="G306" s="14"/>
      <c r="H306" s="10">
        <v>6.9845588235294116</v>
      </c>
      <c r="I306" s="8" t="s">
        <v>47</v>
      </c>
      <c r="J306" s="8" t="s">
        <v>32</v>
      </c>
      <c r="K306" s="8" t="s">
        <v>33</v>
      </c>
      <c r="L306" s="8"/>
      <c r="M306" s="15" t="str">
        <f>HYPERLINK("http://slimages.macys.com/is/image/MCY/10010840 ")</f>
        <v xml:space="preserve">http://slimages.macys.com/is/image/MCY/10010840 </v>
      </c>
      <c r="N306" s="13"/>
    </row>
    <row r="307" spans="1:14" ht="36" x14ac:dyDescent="0.25">
      <c r="A307" s="14" t="s">
        <v>1287</v>
      </c>
      <c r="B307" s="8" t="s">
        <v>1288</v>
      </c>
      <c r="C307" s="9">
        <v>1</v>
      </c>
      <c r="D307" s="10">
        <v>24.99</v>
      </c>
      <c r="E307" s="9" t="s">
        <v>1289</v>
      </c>
      <c r="F307" s="8" t="s">
        <v>469</v>
      </c>
      <c r="G307" s="14"/>
      <c r="H307" s="10">
        <v>6.9845588235294116</v>
      </c>
      <c r="I307" s="8" t="s">
        <v>47</v>
      </c>
      <c r="J307" s="8" t="s">
        <v>32</v>
      </c>
      <c r="K307" s="8" t="s">
        <v>33</v>
      </c>
      <c r="L307" s="8"/>
      <c r="M307" s="15" t="str">
        <f>HYPERLINK("http://slimages.macys.com/is/image/MCY/10010840 ")</f>
        <v xml:space="preserve">http://slimages.macys.com/is/image/MCY/10010840 </v>
      </c>
      <c r="N307" s="13"/>
    </row>
    <row r="308" spans="1:14" ht="36" x14ac:dyDescent="0.25">
      <c r="A308" s="14" t="s">
        <v>1236</v>
      </c>
      <c r="B308" s="8" t="s">
        <v>1237</v>
      </c>
      <c r="C308" s="9">
        <v>3</v>
      </c>
      <c r="D308" s="10">
        <v>30.99</v>
      </c>
      <c r="E308" s="9" t="s">
        <v>1238</v>
      </c>
      <c r="F308" s="8" t="s">
        <v>30</v>
      </c>
      <c r="G308" s="14"/>
      <c r="H308" s="10">
        <v>7.4786764705882343</v>
      </c>
      <c r="I308" s="8" t="s">
        <v>47</v>
      </c>
      <c r="J308" s="8" t="s">
        <v>32</v>
      </c>
      <c r="K308" s="8" t="s">
        <v>33</v>
      </c>
      <c r="L308" s="8"/>
      <c r="M308" s="15" t="str">
        <f>HYPERLINK("http://slimages.macys.com/is/image/MCY/10010883 ")</f>
        <v xml:space="preserve">http://slimages.macys.com/is/image/MCY/10010883 </v>
      </c>
      <c r="N308" s="13"/>
    </row>
    <row r="309" spans="1:14" ht="36" x14ac:dyDescent="0.25">
      <c r="A309" s="14" t="s">
        <v>1150</v>
      </c>
      <c r="B309" s="8" t="s">
        <v>1151</v>
      </c>
      <c r="C309" s="9">
        <v>2</v>
      </c>
      <c r="D309" s="10">
        <v>33.99</v>
      </c>
      <c r="E309" s="9" t="s">
        <v>1152</v>
      </c>
      <c r="F309" s="8" t="s">
        <v>30</v>
      </c>
      <c r="G309" s="14"/>
      <c r="H309" s="10">
        <v>8.0088235294117638</v>
      </c>
      <c r="I309" s="8" t="s">
        <v>47</v>
      </c>
      <c r="J309" s="8" t="s">
        <v>32</v>
      </c>
      <c r="K309" s="8" t="s">
        <v>33</v>
      </c>
      <c r="L309" s="8"/>
      <c r="M309" s="15" t="str">
        <f>HYPERLINK("http://slimages.macys.com/is/image/MCY/10010883 ")</f>
        <v xml:space="preserve">http://slimages.macys.com/is/image/MCY/10010883 </v>
      </c>
      <c r="N309" s="13"/>
    </row>
    <row r="310" spans="1:14" ht="84" x14ac:dyDescent="0.25">
      <c r="A310" s="14" t="s">
        <v>286</v>
      </c>
      <c r="B310" s="8" t="s">
        <v>287</v>
      </c>
      <c r="C310" s="9">
        <v>1</v>
      </c>
      <c r="D310" s="10">
        <v>119.99</v>
      </c>
      <c r="E310" s="9" t="s">
        <v>288</v>
      </c>
      <c r="F310" s="8" t="s">
        <v>30</v>
      </c>
      <c r="G310" s="14"/>
      <c r="H310" s="10">
        <v>24.783088235294116</v>
      </c>
      <c r="I310" s="8" t="s">
        <v>47</v>
      </c>
      <c r="J310" s="8" t="s">
        <v>32</v>
      </c>
      <c r="K310" s="8" t="s">
        <v>33</v>
      </c>
      <c r="L310" s="8" t="s">
        <v>289</v>
      </c>
      <c r="M310" s="15" t="str">
        <f>HYPERLINK("http://slimages.macys.com/is/image/MCY/9627878 ")</f>
        <v xml:space="preserve">http://slimages.macys.com/is/image/MCY/9627878 </v>
      </c>
      <c r="N310" s="13"/>
    </row>
    <row r="311" spans="1:14" ht="36" x14ac:dyDescent="0.25">
      <c r="A311" s="14" t="s">
        <v>235</v>
      </c>
      <c r="B311" s="8" t="s">
        <v>236</v>
      </c>
      <c r="C311" s="9">
        <v>1</v>
      </c>
      <c r="D311" s="10">
        <v>134.99</v>
      </c>
      <c r="E311" s="9" t="s">
        <v>237</v>
      </c>
      <c r="F311" s="8" t="s">
        <v>238</v>
      </c>
      <c r="G311" s="14"/>
      <c r="H311" s="10">
        <v>26.699999999999996</v>
      </c>
      <c r="I311" s="8" t="s">
        <v>31</v>
      </c>
      <c r="J311" s="8" t="s">
        <v>32</v>
      </c>
      <c r="K311" s="8" t="s">
        <v>33</v>
      </c>
      <c r="L311" s="8"/>
      <c r="M311" s="15" t="str">
        <f>HYPERLINK("http://slimages.macys.com/is/image/MCY/8930125 ")</f>
        <v xml:space="preserve">http://slimages.macys.com/is/image/MCY/8930125 </v>
      </c>
      <c r="N311" s="13"/>
    </row>
    <row r="312" spans="1:14" ht="96" x14ac:dyDescent="0.25">
      <c r="A312" s="14" t="s">
        <v>1395</v>
      </c>
      <c r="B312" s="8" t="s">
        <v>1396</v>
      </c>
      <c r="C312" s="9">
        <v>1</v>
      </c>
      <c r="D312" s="10">
        <v>19.989999999999998</v>
      </c>
      <c r="E312" s="9" t="s">
        <v>1397</v>
      </c>
      <c r="F312" s="8" t="s">
        <v>65</v>
      </c>
      <c r="G312" s="14" t="s">
        <v>800</v>
      </c>
      <c r="H312" s="10">
        <v>6.1198529411764708</v>
      </c>
      <c r="I312" s="8" t="s">
        <v>47</v>
      </c>
      <c r="J312" s="8" t="s">
        <v>32</v>
      </c>
      <c r="K312" s="8" t="s">
        <v>33</v>
      </c>
      <c r="L312" s="8" t="s">
        <v>1390</v>
      </c>
      <c r="M312" s="15" t="str">
        <f>HYPERLINK("http://slimages.macys.com/is/image/MCY/9613896 ")</f>
        <v xml:space="preserve">http://slimages.macys.com/is/image/MCY/9613896 </v>
      </c>
      <c r="N312" s="13"/>
    </row>
    <row r="313" spans="1:14" ht="96" x14ac:dyDescent="0.25">
      <c r="A313" s="14" t="s">
        <v>1387</v>
      </c>
      <c r="B313" s="8" t="s">
        <v>1388</v>
      </c>
      <c r="C313" s="9">
        <v>2</v>
      </c>
      <c r="D313" s="10">
        <v>19.989999999999998</v>
      </c>
      <c r="E313" s="9" t="s">
        <v>1389</v>
      </c>
      <c r="F313" s="8" t="s">
        <v>38</v>
      </c>
      <c r="G313" s="14" t="s">
        <v>800</v>
      </c>
      <c r="H313" s="10">
        <v>6.1198529411764708</v>
      </c>
      <c r="I313" s="8" t="s">
        <v>47</v>
      </c>
      <c r="J313" s="8" t="s">
        <v>32</v>
      </c>
      <c r="K313" s="8" t="s">
        <v>33</v>
      </c>
      <c r="L313" s="8" t="s">
        <v>1390</v>
      </c>
      <c r="M313" s="15" t="str">
        <f>HYPERLINK("http://slimages.macys.com/is/image/MCY/9613896 ")</f>
        <v xml:space="preserve">http://slimages.macys.com/is/image/MCY/9613896 </v>
      </c>
      <c r="N313" s="13"/>
    </row>
    <row r="314" spans="1:14" ht="36" x14ac:dyDescent="0.25">
      <c r="A314" s="14" t="s">
        <v>1256</v>
      </c>
      <c r="B314" s="8" t="s">
        <v>1257</v>
      </c>
      <c r="C314" s="9">
        <v>1</v>
      </c>
      <c r="D314" s="10">
        <v>26.99</v>
      </c>
      <c r="E314" s="9" t="s">
        <v>1258</v>
      </c>
      <c r="F314" s="8" t="s">
        <v>726</v>
      </c>
      <c r="G314" s="14" t="s">
        <v>695</v>
      </c>
      <c r="H314" s="10">
        <v>7.2727941176470585</v>
      </c>
      <c r="I314" s="8" t="s">
        <v>47</v>
      </c>
      <c r="J314" s="8" t="s">
        <v>32</v>
      </c>
      <c r="K314" s="8" t="s">
        <v>33</v>
      </c>
      <c r="L314" s="8" t="s">
        <v>631</v>
      </c>
      <c r="M314" s="15" t="str">
        <f>HYPERLINK("http://slimages.macys.com/is/image/MCY/9613901 ")</f>
        <v xml:space="preserve">http://slimages.macys.com/is/image/MCY/9613901 </v>
      </c>
      <c r="N314" s="13"/>
    </row>
    <row r="315" spans="1:14" ht="36" x14ac:dyDescent="0.25">
      <c r="A315" s="14" t="s">
        <v>1526</v>
      </c>
      <c r="B315" s="8" t="s">
        <v>1527</v>
      </c>
      <c r="C315" s="9">
        <v>8</v>
      </c>
      <c r="D315" s="10">
        <v>20.99</v>
      </c>
      <c r="E315" s="9" t="s">
        <v>1528</v>
      </c>
      <c r="F315" s="8" t="s">
        <v>38</v>
      </c>
      <c r="G315" s="14"/>
      <c r="H315" s="10">
        <v>5.0441176470588234</v>
      </c>
      <c r="I315" s="8" t="s">
        <v>47</v>
      </c>
      <c r="J315" s="8" t="s">
        <v>32</v>
      </c>
      <c r="K315" s="8" t="s">
        <v>33</v>
      </c>
      <c r="L315" s="8"/>
      <c r="M315" s="15" t="str">
        <f>HYPERLINK("http://slimages.macys.com/is/image/MCY/10015397 ")</f>
        <v xml:space="preserve">http://slimages.macys.com/is/image/MCY/10015397 </v>
      </c>
      <c r="N315" s="13"/>
    </row>
    <row r="316" spans="1:14" ht="36" x14ac:dyDescent="0.25">
      <c r="A316" s="14" t="s">
        <v>1523</v>
      </c>
      <c r="B316" s="8" t="s">
        <v>1524</v>
      </c>
      <c r="C316" s="9">
        <v>12</v>
      </c>
      <c r="D316" s="10">
        <v>20.99</v>
      </c>
      <c r="E316" s="9" t="s">
        <v>1525</v>
      </c>
      <c r="F316" s="8" t="s">
        <v>30</v>
      </c>
      <c r="G316" s="14"/>
      <c r="H316" s="10">
        <v>5.0441176470588234</v>
      </c>
      <c r="I316" s="8" t="s">
        <v>47</v>
      </c>
      <c r="J316" s="8" t="s">
        <v>32</v>
      </c>
      <c r="K316" s="8" t="s">
        <v>33</v>
      </c>
      <c r="L316" s="8"/>
      <c r="M316" s="15" t="str">
        <f>HYPERLINK("http://slimages.macys.com/is/image/MCY/10015397 ")</f>
        <v xml:space="preserve">http://slimages.macys.com/is/image/MCY/10015397 </v>
      </c>
      <c r="N316" s="13"/>
    </row>
    <row r="317" spans="1:14" ht="36" x14ac:dyDescent="0.25">
      <c r="A317" s="14" t="s">
        <v>1523</v>
      </c>
      <c r="B317" s="8" t="s">
        <v>1524</v>
      </c>
      <c r="C317" s="9">
        <v>2</v>
      </c>
      <c r="D317" s="10">
        <v>20.99</v>
      </c>
      <c r="E317" s="9" t="s">
        <v>1525</v>
      </c>
      <c r="F317" s="8" t="s">
        <v>30</v>
      </c>
      <c r="G317" s="14"/>
      <c r="H317" s="10">
        <v>5.0441176470588234</v>
      </c>
      <c r="I317" s="8" t="s">
        <v>47</v>
      </c>
      <c r="J317" s="8" t="s">
        <v>32</v>
      </c>
      <c r="K317" s="8" t="s">
        <v>33</v>
      </c>
      <c r="L317" s="8"/>
      <c r="M317" s="15" t="str">
        <f>HYPERLINK("http://slimages.macys.com/is/image/MCY/10015397 ")</f>
        <v xml:space="preserve">http://slimages.macys.com/is/image/MCY/10015397 </v>
      </c>
      <c r="N317" s="13"/>
    </row>
    <row r="318" spans="1:14" ht="36" x14ac:dyDescent="0.25">
      <c r="A318" s="14" t="s">
        <v>1354</v>
      </c>
      <c r="B318" s="8" t="s">
        <v>1355</v>
      </c>
      <c r="C318" s="9">
        <v>4</v>
      </c>
      <c r="D318" s="10">
        <v>26.99</v>
      </c>
      <c r="E318" s="9" t="s">
        <v>1356</v>
      </c>
      <c r="F318" s="8" t="s">
        <v>85</v>
      </c>
      <c r="G318" s="14"/>
      <c r="H318" s="10">
        <v>6.3051470588235281</v>
      </c>
      <c r="I318" s="8" t="s">
        <v>47</v>
      </c>
      <c r="J318" s="8" t="s">
        <v>32</v>
      </c>
      <c r="K318" s="8" t="s">
        <v>33</v>
      </c>
      <c r="L318" s="8"/>
      <c r="M318" s="15" t="str">
        <f>HYPERLINK("http://slimages.macys.com/is/image/MCY/10015397 ")</f>
        <v xml:space="preserve">http://slimages.macys.com/is/image/MCY/10015397 </v>
      </c>
      <c r="N318" s="13"/>
    </row>
    <row r="319" spans="1:14" ht="48" x14ac:dyDescent="0.25">
      <c r="A319" s="14" t="s">
        <v>692</v>
      </c>
      <c r="B319" s="8" t="s">
        <v>693</v>
      </c>
      <c r="C319" s="9">
        <v>1</v>
      </c>
      <c r="D319" s="10">
        <v>52.99</v>
      </c>
      <c r="E319" s="9" t="s">
        <v>694</v>
      </c>
      <c r="F319" s="8" t="s">
        <v>85</v>
      </c>
      <c r="G319" s="14" t="s">
        <v>695</v>
      </c>
      <c r="H319" s="10">
        <v>12.929411764705881</v>
      </c>
      <c r="I319" s="8" t="s">
        <v>47</v>
      </c>
      <c r="J319" s="8" t="s">
        <v>32</v>
      </c>
      <c r="K319" s="8" t="s">
        <v>33</v>
      </c>
      <c r="L319" s="8" t="s">
        <v>696</v>
      </c>
      <c r="M319" s="15" t="str">
        <f>HYPERLINK("http://slimages.macys.com/is/image/MCY/9613994 ")</f>
        <v xml:space="preserve">http://slimages.macys.com/is/image/MCY/9613994 </v>
      </c>
      <c r="N319" s="13"/>
    </row>
    <row r="320" spans="1:14" ht="36" x14ac:dyDescent="0.25">
      <c r="A320" s="14" t="s">
        <v>1432</v>
      </c>
      <c r="B320" s="8" t="s">
        <v>1433</v>
      </c>
      <c r="C320" s="9">
        <v>1</v>
      </c>
      <c r="D320" s="10">
        <v>27.99</v>
      </c>
      <c r="E320" s="9" t="s">
        <v>1434</v>
      </c>
      <c r="F320" s="8" t="s">
        <v>1122</v>
      </c>
      <c r="G320" s="14"/>
      <c r="H320" s="10">
        <v>6.0014705882352946</v>
      </c>
      <c r="I320" s="8" t="s">
        <v>47</v>
      </c>
      <c r="J320" s="8" t="s">
        <v>32</v>
      </c>
      <c r="K320" s="8" t="s">
        <v>33</v>
      </c>
      <c r="L320" s="8" t="s">
        <v>1418</v>
      </c>
      <c r="M320" s="15" t="str">
        <f>HYPERLINK("http://slimages.macys.com/is/image/MCY/9534578 ")</f>
        <v xml:space="preserve">http://slimages.macys.com/is/image/MCY/9534578 </v>
      </c>
      <c r="N320" s="13"/>
    </row>
    <row r="321" spans="1:14" ht="36" x14ac:dyDescent="0.25">
      <c r="A321" s="14" t="s">
        <v>1415</v>
      </c>
      <c r="B321" s="8" t="s">
        <v>1416</v>
      </c>
      <c r="C321" s="9">
        <v>4</v>
      </c>
      <c r="D321" s="10">
        <v>27.99</v>
      </c>
      <c r="E321" s="9" t="s">
        <v>1417</v>
      </c>
      <c r="F321" s="8" t="s">
        <v>96</v>
      </c>
      <c r="G321" s="14"/>
      <c r="H321" s="10">
        <v>6.0014705882352946</v>
      </c>
      <c r="I321" s="8" t="s">
        <v>47</v>
      </c>
      <c r="J321" s="8" t="s">
        <v>32</v>
      </c>
      <c r="K321" s="8" t="s">
        <v>33</v>
      </c>
      <c r="L321" s="8" t="s">
        <v>1418</v>
      </c>
      <c r="M321" s="15" t="str">
        <f>HYPERLINK("http://slimages.macys.com/is/image/MCY/9534578 ")</f>
        <v xml:space="preserve">http://slimages.macys.com/is/image/MCY/9534578 </v>
      </c>
      <c r="N321" s="13"/>
    </row>
    <row r="322" spans="1:14" ht="36" x14ac:dyDescent="0.25">
      <c r="A322" s="14" t="s">
        <v>1429</v>
      </c>
      <c r="B322" s="8" t="s">
        <v>1430</v>
      </c>
      <c r="C322" s="9">
        <v>4</v>
      </c>
      <c r="D322" s="10">
        <v>27.99</v>
      </c>
      <c r="E322" s="9" t="s">
        <v>1431</v>
      </c>
      <c r="F322" s="8" t="s">
        <v>30</v>
      </c>
      <c r="G322" s="14"/>
      <c r="H322" s="10">
        <v>6.0014705882352946</v>
      </c>
      <c r="I322" s="8" t="s">
        <v>47</v>
      </c>
      <c r="J322" s="8" t="s">
        <v>32</v>
      </c>
      <c r="K322" s="8" t="s">
        <v>33</v>
      </c>
      <c r="L322" s="8" t="s">
        <v>1418</v>
      </c>
      <c r="M322" s="15" t="str">
        <f>HYPERLINK("http://slimages.macys.com/is/image/MCY/9534578 ")</f>
        <v xml:space="preserve">http://slimages.macys.com/is/image/MCY/9534578 </v>
      </c>
      <c r="N322" s="13"/>
    </row>
    <row r="323" spans="1:14" ht="36" x14ac:dyDescent="0.25">
      <c r="A323" s="14" t="s">
        <v>991</v>
      </c>
      <c r="B323" s="8" t="s">
        <v>992</v>
      </c>
      <c r="C323" s="9">
        <v>1</v>
      </c>
      <c r="D323" s="10">
        <v>44.99</v>
      </c>
      <c r="E323" s="9" t="s">
        <v>993</v>
      </c>
      <c r="F323" s="8" t="s">
        <v>502</v>
      </c>
      <c r="G323" s="14"/>
      <c r="H323" s="10">
        <v>9.6095588235294116</v>
      </c>
      <c r="I323" s="8" t="s">
        <v>47</v>
      </c>
      <c r="J323" s="8" t="s">
        <v>32</v>
      </c>
      <c r="K323" s="8" t="s">
        <v>33</v>
      </c>
      <c r="L323" s="8" t="s">
        <v>994</v>
      </c>
      <c r="M323" s="15" t="str">
        <f>HYPERLINK("http://slimages.macys.com/is/image/MCY/8810137 ")</f>
        <v xml:space="preserve">http://slimages.macys.com/is/image/MCY/8810137 </v>
      </c>
      <c r="N323" s="13"/>
    </row>
    <row r="324" spans="1:14" ht="36" x14ac:dyDescent="0.25">
      <c r="A324" s="14" t="s">
        <v>1426</v>
      </c>
      <c r="B324" s="8" t="s">
        <v>1427</v>
      </c>
      <c r="C324" s="9">
        <v>1</v>
      </c>
      <c r="D324" s="10">
        <v>27.99</v>
      </c>
      <c r="E324" s="9" t="s">
        <v>1428</v>
      </c>
      <c r="F324" s="8" t="s">
        <v>217</v>
      </c>
      <c r="G324" s="14"/>
      <c r="H324" s="10">
        <v>6.0014705882352946</v>
      </c>
      <c r="I324" s="8" t="s">
        <v>47</v>
      </c>
      <c r="J324" s="8" t="s">
        <v>32</v>
      </c>
      <c r="K324" s="8" t="s">
        <v>33</v>
      </c>
      <c r="L324" s="8" t="s">
        <v>200</v>
      </c>
      <c r="M324" s="15" t="str">
        <f>HYPERLINK("http://slimages.macys.com/is/image/MCY/9534655 ")</f>
        <v xml:space="preserve">http://slimages.macys.com/is/image/MCY/9534655 </v>
      </c>
      <c r="N324" s="13"/>
    </row>
    <row r="325" spans="1:14" ht="36" x14ac:dyDescent="0.25">
      <c r="A325" s="14" t="s">
        <v>1423</v>
      </c>
      <c r="B325" s="8" t="s">
        <v>1424</v>
      </c>
      <c r="C325" s="9">
        <v>1</v>
      </c>
      <c r="D325" s="10">
        <v>27.99</v>
      </c>
      <c r="E325" s="9" t="s">
        <v>1425</v>
      </c>
      <c r="F325" s="8" t="s">
        <v>30</v>
      </c>
      <c r="G325" s="14"/>
      <c r="H325" s="10">
        <v>6.0014705882352946</v>
      </c>
      <c r="I325" s="8" t="s">
        <v>47</v>
      </c>
      <c r="J325" s="8" t="s">
        <v>32</v>
      </c>
      <c r="K325" s="8" t="s">
        <v>33</v>
      </c>
      <c r="L325" s="8" t="s">
        <v>200</v>
      </c>
      <c r="M325" s="15" t="str">
        <f>HYPERLINK("http://slimages.macys.com/is/image/MCY/9534655 ")</f>
        <v xml:space="preserve">http://slimages.macys.com/is/image/MCY/9534655 </v>
      </c>
      <c r="N325" s="13"/>
    </row>
    <row r="326" spans="1:14" ht="36" x14ac:dyDescent="0.25">
      <c r="A326" s="14" t="s">
        <v>1174</v>
      </c>
      <c r="B326" s="8" t="s">
        <v>1175</v>
      </c>
      <c r="C326" s="9">
        <v>1</v>
      </c>
      <c r="D326" s="10">
        <v>35.99</v>
      </c>
      <c r="E326" s="9" t="s">
        <v>1176</v>
      </c>
      <c r="F326" s="8" t="s">
        <v>118</v>
      </c>
      <c r="G326" s="14" t="s">
        <v>1177</v>
      </c>
      <c r="H326" s="10">
        <v>7.7411764705882353</v>
      </c>
      <c r="I326" s="8" t="s">
        <v>47</v>
      </c>
      <c r="J326" s="8" t="s">
        <v>32</v>
      </c>
      <c r="K326" s="8" t="s">
        <v>33</v>
      </c>
      <c r="L326" s="8" t="s">
        <v>994</v>
      </c>
      <c r="M326" s="15" t="str">
        <f>HYPERLINK("http://slimages.macys.com/is/image/MCY/8216605 ")</f>
        <v xml:space="preserve">http://slimages.macys.com/is/image/MCY/8216605 </v>
      </c>
      <c r="N326" s="13"/>
    </row>
    <row r="327" spans="1:14" ht="36" x14ac:dyDescent="0.25">
      <c r="A327" s="14" t="s">
        <v>1174</v>
      </c>
      <c r="B327" s="8" t="s">
        <v>1175</v>
      </c>
      <c r="C327" s="9">
        <v>4</v>
      </c>
      <c r="D327" s="10">
        <v>35.99</v>
      </c>
      <c r="E327" s="9" t="s">
        <v>1176</v>
      </c>
      <c r="F327" s="8" t="s">
        <v>118</v>
      </c>
      <c r="G327" s="14" t="s">
        <v>1177</v>
      </c>
      <c r="H327" s="10">
        <v>7.7411764705882353</v>
      </c>
      <c r="I327" s="8" t="s">
        <v>47</v>
      </c>
      <c r="J327" s="8" t="s">
        <v>32</v>
      </c>
      <c r="K327" s="8" t="s">
        <v>33</v>
      </c>
      <c r="L327" s="8" t="s">
        <v>994</v>
      </c>
      <c r="M327" s="15" t="str">
        <f>HYPERLINK("http://slimages.macys.com/is/image/MCY/8216605 ")</f>
        <v xml:space="preserve">http://slimages.macys.com/is/image/MCY/8216605 </v>
      </c>
      <c r="N327" s="13"/>
    </row>
    <row r="328" spans="1:14" ht="36" x14ac:dyDescent="0.25">
      <c r="A328" s="14" t="s">
        <v>1178</v>
      </c>
      <c r="B328" s="8" t="s">
        <v>1179</v>
      </c>
      <c r="C328" s="9">
        <v>6</v>
      </c>
      <c r="D328" s="10">
        <v>35.99</v>
      </c>
      <c r="E328" s="9" t="s">
        <v>1180</v>
      </c>
      <c r="F328" s="8" t="s">
        <v>38</v>
      </c>
      <c r="G328" s="14"/>
      <c r="H328" s="10">
        <v>7.7411764705882353</v>
      </c>
      <c r="I328" s="8" t="s">
        <v>47</v>
      </c>
      <c r="J328" s="8" t="s">
        <v>32</v>
      </c>
      <c r="K328" s="8" t="s">
        <v>33</v>
      </c>
      <c r="L328" s="8" t="s">
        <v>994</v>
      </c>
      <c r="M328" s="15" t="str">
        <f>HYPERLINK("http://slimages.macys.com/is/image/MCY/8216605 ")</f>
        <v xml:space="preserve">http://slimages.macys.com/is/image/MCY/8216605 </v>
      </c>
      <c r="N328" s="13"/>
    </row>
    <row r="329" spans="1:14" ht="36" x14ac:dyDescent="0.25">
      <c r="A329" s="14" t="s">
        <v>1178</v>
      </c>
      <c r="B329" s="8" t="s">
        <v>1179</v>
      </c>
      <c r="C329" s="9">
        <v>2</v>
      </c>
      <c r="D329" s="10">
        <v>35.99</v>
      </c>
      <c r="E329" s="9" t="s">
        <v>1180</v>
      </c>
      <c r="F329" s="8" t="s">
        <v>38</v>
      </c>
      <c r="G329" s="14"/>
      <c r="H329" s="10">
        <v>7.7411764705882353</v>
      </c>
      <c r="I329" s="8" t="s">
        <v>47</v>
      </c>
      <c r="J329" s="8" t="s">
        <v>32</v>
      </c>
      <c r="K329" s="8" t="s">
        <v>33</v>
      </c>
      <c r="L329" s="8" t="s">
        <v>994</v>
      </c>
      <c r="M329" s="15" t="str">
        <f>HYPERLINK("http://slimages.macys.com/is/image/MCY/8216605 ")</f>
        <v xml:space="preserve">http://slimages.macys.com/is/image/MCY/8216605 </v>
      </c>
      <c r="N329" s="13"/>
    </row>
    <row r="330" spans="1:14" ht="108" x14ac:dyDescent="0.25">
      <c r="A330" s="14" t="s">
        <v>179</v>
      </c>
      <c r="B330" s="8" t="s">
        <v>180</v>
      </c>
      <c r="C330" s="9">
        <v>1</v>
      </c>
      <c r="D330" s="10">
        <v>159.99</v>
      </c>
      <c r="E330" s="9" t="s">
        <v>181</v>
      </c>
      <c r="F330" s="8" t="s">
        <v>38</v>
      </c>
      <c r="G330" s="14"/>
      <c r="H330" s="10">
        <v>30.582352941176467</v>
      </c>
      <c r="I330" s="8" t="s">
        <v>31</v>
      </c>
      <c r="J330" s="8" t="s">
        <v>32</v>
      </c>
      <c r="K330" s="8" t="s">
        <v>33</v>
      </c>
      <c r="L330" s="8" t="s">
        <v>182</v>
      </c>
      <c r="M330" s="15" t="str">
        <f>HYPERLINK("http://slimages.macys.com/is/image/MCY/9798722 ")</f>
        <v xml:space="preserve">http://slimages.macys.com/is/image/MCY/9798722 </v>
      </c>
      <c r="N330" s="13"/>
    </row>
    <row r="331" spans="1:14" ht="36" x14ac:dyDescent="0.25">
      <c r="A331" s="14" t="s">
        <v>374</v>
      </c>
      <c r="B331" s="8" t="s">
        <v>375</v>
      </c>
      <c r="C331" s="9">
        <v>1</v>
      </c>
      <c r="D331" s="10">
        <v>125.99</v>
      </c>
      <c r="E331" s="9" t="s">
        <v>376</v>
      </c>
      <c r="F331" s="8" t="s">
        <v>118</v>
      </c>
      <c r="G331" s="14"/>
      <c r="H331" s="10">
        <v>21.842647058823527</v>
      </c>
      <c r="I331" s="8" t="s">
        <v>31</v>
      </c>
      <c r="J331" s="8" t="s">
        <v>32</v>
      </c>
      <c r="K331" s="8" t="s">
        <v>33</v>
      </c>
      <c r="L331" s="8" t="s">
        <v>200</v>
      </c>
      <c r="M331" s="15" t="str">
        <f>HYPERLINK("http://slimages.macys.com/is/image/MCY/16419070 ")</f>
        <v xml:space="preserve">http://slimages.macys.com/is/image/MCY/16419070 </v>
      </c>
      <c r="N331" s="13"/>
    </row>
    <row r="332" spans="1:14" ht="156" x14ac:dyDescent="0.25">
      <c r="A332" s="14" t="s">
        <v>243</v>
      </c>
      <c r="B332" s="8" t="s">
        <v>244</v>
      </c>
      <c r="C332" s="9">
        <v>1</v>
      </c>
      <c r="D332" s="10">
        <v>149.99</v>
      </c>
      <c r="E332" s="9" t="s">
        <v>245</v>
      </c>
      <c r="F332" s="8" t="s">
        <v>114</v>
      </c>
      <c r="G332" s="14"/>
      <c r="H332" s="10">
        <v>26.501470588235293</v>
      </c>
      <c r="I332" s="8" t="s">
        <v>31</v>
      </c>
      <c r="J332" s="8" t="s">
        <v>32</v>
      </c>
      <c r="K332" s="8" t="s">
        <v>33</v>
      </c>
      <c r="L332" s="8" t="s">
        <v>246</v>
      </c>
      <c r="M332" s="15" t="str">
        <f>HYPERLINK("http://slimages.macys.com/is/image/MCY/9566771 ")</f>
        <v xml:space="preserve">http://slimages.macys.com/is/image/MCY/9566771 </v>
      </c>
      <c r="N332" s="13"/>
    </row>
    <row r="333" spans="1:14" ht="36" x14ac:dyDescent="0.25">
      <c r="A333" s="14" t="s">
        <v>932</v>
      </c>
      <c r="B333" s="8" t="s">
        <v>933</v>
      </c>
      <c r="C333" s="9">
        <v>1</v>
      </c>
      <c r="D333" s="10">
        <v>46.99</v>
      </c>
      <c r="E333" s="9" t="s">
        <v>934</v>
      </c>
      <c r="F333" s="8" t="s">
        <v>355</v>
      </c>
      <c r="G333" s="14"/>
      <c r="H333" s="10">
        <v>10.0625</v>
      </c>
      <c r="I333" s="8" t="s">
        <v>47</v>
      </c>
      <c r="J333" s="8" t="s">
        <v>32</v>
      </c>
      <c r="K333" s="8" t="s">
        <v>33</v>
      </c>
      <c r="L333" s="8" t="s">
        <v>200</v>
      </c>
      <c r="M333" s="15" t="str">
        <f>HYPERLINK("http://slimages.macys.com/is/image/MCY/9192778 ")</f>
        <v xml:space="preserve">http://slimages.macys.com/is/image/MCY/9192778 </v>
      </c>
      <c r="N333" s="13"/>
    </row>
    <row r="334" spans="1:14" ht="36" x14ac:dyDescent="0.25">
      <c r="A334" s="14" t="s">
        <v>929</v>
      </c>
      <c r="B334" s="8" t="s">
        <v>930</v>
      </c>
      <c r="C334" s="9">
        <v>4</v>
      </c>
      <c r="D334" s="10">
        <v>46.99</v>
      </c>
      <c r="E334" s="9" t="s">
        <v>931</v>
      </c>
      <c r="F334" s="8" t="s">
        <v>30</v>
      </c>
      <c r="G334" s="14"/>
      <c r="H334" s="10">
        <v>10.0625</v>
      </c>
      <c r="I334" s="8" t="s">
        <v>47</v>
      </c>
      <c r="J334" s="8" t="s">
        <v>32</v>
      </c>
      <c r="K334" s="8" t="s">
        <v>33</v>
      </c>
      <c r="L334" s="8" t="s">
        <v>200</v>
      </c>
      <c r="M334" s="15" t="str">
        <f>HYPERLINK("http://slimages.macys.com/is/image/MCY/9192778 ")</f>
        <v xml:space="preserve">http://slimages.macys.com/is/image/MCY/9192778 </v>
      </c>
      <c r="N334" s="13"/>
    </row>
    <row r="335" spans="1:14" ht="36" x14ac:dyDescent="0.25">
      <c r="A335" s="14" t="s">
        <v>1225</v>
      </c>
      <c r="B335" s="8" t="s">
        <v>1226</v>
      </c>
      <c r="C335" s="9">
        <v>1</v>
      </c>
      <c r="D335" s="10">
        <v>34.99</v>
      </c>
      <c r="E335" s="9" t="s">
        <v>1227</v>
      </c>
      <c r="F335" s="8" t="s">
        <v>30</v>
      </c>
      <c r="G335" s="14"/>
      <c r="H335" s="10">
        <v>7.545588235294117</v>
      </c>
      <c r="I335" s="8" t="s">
        <v>47</v>
      </c>
      <c r="J335" s="8" t="s">
        <v>32</v>
      </c>
      <c r="K335" s="8" t="s">
        <v>33</v>
      </c>
      <c r="L335" s="8"/>
      <c r="M335" s="15" t="str">
        <f>HYPERLINK("http://slimages.macys.com/is/image/MCY/9192504 ")</f>
        <v xml:space="preserve">http://slimages.macys.com/is/image/MCY/9192504 </v>
      </c>
      <c r="N335" s="13"/>
    </row>
    <row r="336" spans="1:14" ht="36" x14ac:dyDescent="0.25">
      <c r="A336" s="14" t="s">
        <v>1537</v>
      </c>
      <c r="B336" s="8" t="s">
        <v>1538</v>
      </c>
      <c r="C336" s="9">
        <v>1</v>
      </c>
      <c r="D336" s="10">
        <v>26.99</v>
      </c>
      <c r="E336" s="9" t="s">
        <v>1539</v>
      </c>
      <c r="F336" s="8" t="s">
        <v>38</v>
      </c>
      <c r="G336" s="14"/>
      <c r="H336" s="10">
        <v>5.0029411764705882</v>
      </c>
      <c r="I336" s="8" t="s">
        <v>31</v>
      </c>
      <c r="J336" s="8" t="s">
        <v>32</v>
      </c>
      <c r="K336" s="8" t="s">
        <v>33</v>
      </c>
      <c r="L336" s="8" t="s">
        <v>1414</v>
      </c>
      <c r="M336" s="15" t="str">
        <f>HYPERLINK("http://slimages.macys.com/is/image/MCY/9767691 ")</f>
        <v xml:space="preserve">http://slimages.macys.com/is/image/MCY/9767691 </v>
      </c>
      <c r="N336" s="13"/>
    </row>
    <row r="337" spans="1:14" ht="36" x14ac:dyDescent="0.25">
      <c r="A337" s="14" t="s">
        <v>1411</v>
      </c>
      <c r="B337" s="8" t="s">
        <v>1412</v>
      </c>
      <c r="C337" s="9">
        <v>1</v>
      </c>
      <c r="D337" s="10">
        <v>31.99</v>
      </c>
      <c r="E337" s="9" t="s">
        <v>1413</v>
      </c>
      <c r="F337" s="8" t="s">
        <v>38</v>
      </c>
      <c r="G337" s="14"/>
      <c r="H337" s="10">
        <v>6.0044117647058819</v>
      </c>
      <c r="I337" s="8" t="s">
        <v>31</v>
      </c>
      <c r="J337" s="8" t="s">
        <v>32</v>
      </c>
      <c r="K337" s="8" t="s">
        <v>33</v>
      </c>
      <c r="L337" s="8" t="s">
        <v>1414</v>
      </c>
      <c r="M337" s="15" t="str">
        <f>HYPERLINK("http://slimages.macys.com/is/image/MCY/9767691 ")</f>
        <v xml:space="preserve">http://slimages.macys.com/is/image/MCY/9767691 </v>
      </c>
      <c r="N337" s="13"/>
    </row>
    <row r="338" spans="1:14" ht="192" x14ac:dyDescent="0.25">
      <c r="A338" s="14" t="s">
        <v>161</v>
      </c>
      <c r="B338" s="8" t="s">
        <v>162</v>
      </c>
      <c r="C338" s="9">
        <v>1</v>
      </c>
      <c r="D338" s="10">
        <v>179.99</v>
      </c>
      <c r="E338" s="9" t="s">
        <v>163</v>
      </c>
      <c r="F338" s="8" t="s">
        <v>164</v>
      </c>
      <c r="G338" s="14"/>
      <c r="H338" s="10">
        <v>31.861764705882351</v>
      </c>
      <c r="I338" s="8" t="s">
        <v>31</v>
      </c>
      <c r="J338" s="8" t="s">
        <v>32</v>
      </c>
      <c r="K338" s="8" t="s">
        <v>33</v>
      </c>
      <c r="L338" s="8" t="s">
        <v>165</v>
      </c>
      <c r="M338" s="15" t="str">
        <f>HYPERLINK("http://slimages.macys.com/is/image/MCY/9627827 ")</f>
        <v xml:space="preserve">http://slimages.macys.com/is/image/MCY/9627827 </v>
      </c>
      <c r="N338" s="13"/>
    </row>
    <row r="339" spans="1:14" ht="36" x14ac:dyDescent="0.25">
      <c r="A339" s="14" t="s">
        <v>719</v>
      </c>
      <c r="B339" s="8" t="s">
        <v>720</v>
      </c>
      <c r="C339" s="9">
        <v>1</v>
      </c>
      <c r="D339" s="10">
        <v>65.989999999999995</v>
      </c>
      <c r="E339" s="9" t="s">
        <v>721</v>
      </c>
      <c r="F339" s="8" t="s">
        <v>38</v>
      </c>
      <c r="G339" s="14"/>
      <c r="H339" s="10">
        <v>12.657352941176468</v>
      </c>
      <c r="I339" s="8" t="s">
        <v>31</v>
      </c>
      <c r="J339" s="8" t="s">
        <v>32</v>
      </c>
      <c r="K339" s="8" t="s">
        <v>33</v>
      </c>
      <c r="L339" s="8" t="s">
        <v>722</v>
      </c>
      <c r="M339" s="15" t="str">
        <f>HYPERLINK("http://slimages.macys.com/is/image/MCY/9767741 ")</f>
        <v xml:space="preserve">http://slimages.macys.com/is/image/MCY/9767741 </v>
      </c>
      <c r="N339" s="13"/>
    </row>
    <row r="340" spans="1:14" ht="36" x14ac:dyDescent="0.25">
      <c r="A340" s="14" t="s">
        <v>255</v>
      </c>
      <c r="B340" s="8" t="s">
        <v>256</v>
      </c>
      <c r="C340" s="9">
        <v>1</v>
      </c>
      <c r="D340" s="10">
        <v>129.99</v>
      </c>
      <c r="E340" s="9" t="s">
        <v>257</v>
      </c>
      <c r="F340" s="8" t="s">
        <v>45</v>
      </c>
      <c r="G340" s="14"/>
      <c r="H340" s="10">
        <v>25.632352941176467</v>
      </c>
      <c r="I340" s="8" t="s">
        <v>31</v>
      </c>
      <c r="J340" s="8" t="s">
        <v>32</v>
      </c>
      <c r="K340" s="8" t="s">
        <v>33</v>
      </c>
      <c r="L340" s="8" t="s">
        <v>200</v>
      </c>
      <c r="M340" s="15" t="str">
        <f>HYPERLINK("http://slimages.macys.com/is/image/MCY/8930319 ")</f>
        <v xml:space="preserve">http://slimages.macys.com/is/image/MCY/8930319 </v>
      </c>
      <c r="N340" s="13"/>
    </row>
    <row r="341" spans="1:14" ht="36" x14ac:dyDescent="0.25">
      <c r="A341" s="14" t="s">
        <v>393</v>
      </c>
      <c r="B341" s="8" t="s">
        <v>394</v>
      </c>
      <c r="C341" s="9">
        <v>1</v>
      </c>
      <c r="D341" s="10">
        <v>109.99</v>
      </c>
      <c r="E341" s="9" t="s">
        <v>395</v>
      </c>
      <c r="F341" s="8" t="s">
        <v>45</v>
      </c>
      <c r="G341" s="14"/>
      <c r="H341" s="10">
        <v>21.357352941176469</v>
      </c>
      <c r="I341" s="8" t="s">
        <v>31</v>
      </c>
      <c r="J341" s="8" t="s">
        <v>32</v>
      </c>
      <c r="K341" s="8" t="s">
        <v>33</v>
      </c>
      <c r="L341" s="8" t="s">
        <v>200</v>
      </c>
      <c r="M341" s="15" t="str">
        <f>HYPERLINK("http://slimages.macys.com/is/image/MCY/8930319 ")</f>
        <v xml:space="preserve">http://slimages.macys.com/is/image/MCY/8930319 </v>
      </c>
      <c r="N341" s="13"/>
    </row>
    <row r="342" spans="1:14" ht="36" x14ac:dyDescent="0.25">
      <c r="A342" s="14" t="s">
        <v>670</v>
      </c>
      <c r="B342" s="8" t="s">
        <v>671</v>
      </c>
      <c r="C342" s="9">
        <v>1</v>
      </c>
      <c r="D342" s="10">
        <v>69.989999999999995</v>
      </c>
      <c r="E342" s="9" t="s">
        <v>672</v>
      </c>
      <c r="F342" s="8" t="s">
        <v>164</v>
      </c>
      <c r="G342" s="14"/>
      <c r="H342" s="10">
        <v>13.301470588235293</v>
      </c>
      <c r="I342" s="8" t="s">
        <v>673</v>
      </c>
      <c r="J342" s="8" t="s">
        <v>32</v>
      </c>
      <c r="K342" s="8" t="s">
        <v>33</v>
      </c>
      <c r="L342" s="8" t="s">
        <v>56</v>
      </c>
      <c r="M342" s="15" t="str">
        <f>HYPERLINK("http://slimages.macys.com/is/image/MCY/10764977 ")</f>
        <v xml:space="preserve">http://slimages.macys.com/is/image/MCY/10764977 </v>
      </c>
      <c r="N342" s="13"/>
    </row>
    <row r="343" spans="1:14" ht="144" x14ac:dyDescent="0.25">
      <c r="A343" s="14" t="s">
        <v>218</v>
      </c>
      <c r="B343" s="8" t="s">
        <v>219</v>
      </c>
      <c r="C343" s="9">
        <v>1</v>
      </c>
      <c r="D343" s="10">
        <v>159.99</v>
      </c>
      <c r="E343" s="9" t="s">
        <v>220</v>
      </c>
      <c r="F343" s="8" t="s">
        <v>164</v>
      </c>
      <c r="G343" s="14"/>
      <c r="H343" s="10">
        <v>27.608823529411765</v>
      </c>
      <c r="I343" s="8" t="s">
        <v>31</v>
      </c>
      <c r="J343" s="8" t="s">
        <v>32</v>
      </c>
      <c r="K343" s="8" t="s">
        <v>33</v>
      </c>
      <c r="L343" s="8" t="s">
        <v>221</v>
      </c>
      <c r="M343" s="15" t="str">
        <f>HYPERLINK("http://slimages.macys.com/is/image/MCY/9627789 ")</f>
        <v xml:space="preserve">http://slimages.macys.com/is/image/MCY/9627789 </v>
      </c>
      <c r="N343" s="13"/>
    </row>
    <row r="344" spans="1:14" ht="36" x14ac:dyDescent="0.25">
      <c r="A344" s="14" t="s">
        <v>1253</v>
      </c>
      <c r="B344" s="8" t="s">
        <v>1254</v>
      </c>
      <c r="C344" s="9">
        <v>2</v>
      </c>
      <c r="D344" s="10">
        <v>34.99</v>
      </c>
      <c r="E344" s="9" t="s">
        <v>1255</v>
      </c>
      <c r="F344" s="8" t="s">
        <v>1245</v>
      </c>
      <c r="G344" s="14"/>
      <c r="H344" s="10">
        <v>7.4117647058823524</v>
      </c>
      <c r="I344" s="8" t="s">
        <v>47</v>
      </c>
      <c r="J344" s="8" t="s">
        <v>32</v>
      </c>
      <c r="K344" s="8" t="s">
        <v>33</v>
      </c>
      <c r="L344" s="8" t="s">
        <v>200</v>
      </c>
      <c r="M344" s="15" t="str">
        <f>HYPERLINK("http://slimages.macys.com/is/image/MCY/16396906 ")</f>
        <v xml:space="preserve">http://slimages.macys.com/is/image/MCY/16396906 </v>
      </c>
      <c r="N344" s="13"/>
    </row>
    <row r="345" spans="1:14" ht="36" x14ac:dyDescent="0.25">
      <c r="A345" s="14" t="s">
        <v>1478</v>
      </c>
      <c r="B345" s="8" t="s">
        <v>1479</v>
      </c>
      <c r="C345" s="9">
        <v>1</v>
      </c>
      <c r="D345" s="10">
        <v>25.99</v>
      </c>
      <c r="E345" s="9" t="s">
        <v>1480</v>
      </c>
      <c r="F345" s="8" t="s">
        <v>30</v>
      </c>
      <c r="G345" s="14"/>
      <c r="H345" s="10">
        <v>5.6051470588235288</v>
      </c>
      <c r="I345" s="8" t="s">
        <v>47</v>
      </c>
      <c r="J345" s="8" t="s">
        <v>32</v>
      </c>
      <c r="K345" s="8" t="s">
        <v>33</v>
      </c>
      <c r="L345" s="8" t="s">
        <v>200</v>
      </c>
      <c r="M345" s="15" t="str">
        <f>HYPERLINK("http://slimages.macys.com/is/image/MCY/9533881 ")</f>
        <v xml:space="preserve">http://slimages.macys.com/is/image/MCY/9533881 </v>
      </c>
      <c r="N345" s="13"/>
    </row>
    <row r="346" spans="1:14" ht="36" x14ac:dyDescent="0.25">
      <c r="A346" s="14" t="s">
        <v>953</v>
      </c>
      <c r="B346" s="8" t="s">
        <v>954</v>
      </c>
      <c r="C346" s="9">
        <v>1</v>
      </c>
      <c r="D346" s="10">
        <v>44.99</v>
      </c>
      <c r="E346" s="9" t="s">
        <v>955</v>
      </c>
      <c r="F346" s="8" t="s">
        <v>38</v>
      </c>
      <c r="G346" s="14"/>
      <c r="H346" s="10">
        <v>9.7845588235294105</v>
      </c>
      <c r="I346" s="8" t="s">
        <v>47</v>
      </c>
      <c r="J346" s="8" t="s">
        <v>32</v>
      </c>
      <c r="K346" s="8" t="s">
        <v>33</v>
      </c>
      <c r="L346" s="8" t="s">
        <v>200</v>
      </c>
      <c r="M346" s="15" t="str">
        <f>HYPERLINK("http://slimages.macys.com/is/image/MCY/8216563 ")</f>
        <v xml:space="preserve">http://slimages.macys.com/is/image/MCY/8216563 </v>
      </c>
      <c r="N346" s="13"/>
    </row>
    <row r="347" spans="1:14" ht="36" x14ac:dyDescent="0.25">
      <c r="A347" s="14" t="s">
        <v>953</v>
      </c>
      <c r="B347" s="8" t="s">
        <v>954</v>
      </c>
      <c r="C347" s="9">
        <v>1</v>
      </c>
      <c r="D347" s="10">
        <v>44.99</v>
      </c>
      <c r="E347" s="9" t="s">
        <v>955</v>
      </c>
      <c r="F347" s="8" t="s">
        <v>38</v>
      </c>
      <c r="G347" s="14"/>
      <c r="H347" s="10">
        <v>9.7845588235294105</v>
      </c>
      <c r="I347" s="8" t="s">
        <v>47</v>
      </c>
      <c r="J347" s="8" t="s">
        <v>32</v>
      </c>
      <c r="K347" s="8" t="s">
        <v>33</v>
      </c>
      <c r="L347" s="8" t="s">
        <v>200</v>
      </c>
      <c r="M347" s="15" t="str">
        <f>HYPERLINK("http://slimages.macys.com/is/image/MCY/8216563 ")</f>
        <v xml:space="preserve">http://slimages.macys.com/is/image/MCY/8216563 </v>
      </c>
      <c r="N347" s="13"/>
    </row>
    <row r="348" spans="1:14" ht="144" x14ac:dyDescent="0.25">
      <c r="A348" s="14" t="s">
        <v>302</v>
      </c>
      <c r="B348" s="8" t="s">
        <v>303</v>
      </c>
      <c r="C348" s="9">
        <v>1</v>
      </c>
      <c r="D348" s="10">
        <v>139.99</v>
      </c>
      <c r="E348" s="9" t="s">
        <v>304</v>
      </c>
      <c r="F348" s="8" t="s">
        <v>118</v>
      </c>
      <c r="G348" s="14"/>
      <c r="H348" s="10">
        <v>24.463235294117649</v>
      </c>
      <c r="I348" s="8" t="s">
        <v>31</v>
      </c>
      <c r="J348" s="8" t="s">
        <v>32</v>
      </c>
      <c r="K348" s="8" t="s">
        <v>33</v>
      </c>
      <c r="L348" s="8" t="s">
        <v>305</v>
      </c>
      <c r="M348" s="15" t="str">
        <f>HYPERLINK("http://slimages.macys.com/is/image/MCY/9627809 ")</f>
        <v xml:space="preserve">http://slimages.macys.com/is/image/MCY/9627809 </v>
      </c>
      <c r="N348" s="13"/>
    </row>
    <row r="349" spans="1:14" ht="36" x14ac:dyDescent="0.25">
      <c r="A349" s="14" t="s">
        <v>1091</v>
      </c>
      <c r="B349" s="8" t="s">
        <v>1092</v>
      </c>
      <c r="C349" s="9">
        <v>1</v>
      </c>
      <c r="D349" s="10">
        <v>39.99</v>
      </c>
      <c r="E349" s="9" t="s">
        <v>1093</v>
      </c>
      <c r="F349" s="8" t="s">
        <v>38</v>
      </c>
      <c r="G349" s="14"/>
      <c r="H349" s="10">
        <v>8.6419117647058812</v>
      </c>
      <c r="I349" s="8" t="s">
        <v>47</v>
      </c>
      <c r="J349" s="8" t="s">
        <v>32</v>
      </c>
      <c r="K349" s="8" t="s">
        <v>33</v>
      </c>
      <c r="L349" s="8" t="s">
        <v>200</v>
      </c>
      <c r="M349" s="15" t="str">
        <f>HYPERLINK("http://slimages.macys.com/is/image/MCY/16396653 ")</f>
        <v xml:space="preserve">http://slimages.macys.com/is/image/MCY/16396653 </v>
      </c>
      <c r="N349" s="13"/>
    </row>
    <row r="350" spans="1:14" ht="48" x14ac:dyDescent="0.25">
      <c r="A350" s="14" t="s">
        <v>247</v>
      </c>
      <c r="B350" s="8" t="s">
        <v>248</v>
      </c>
      <c r="C350" s="9">
        <v>1</v>
      </c>
      <c r="D350" s="10">
        <v>105.99</v>
      </c>
      <c r="E350" s="9" t="s">
        <v>249</v>
      </c>
      <c r="F350" s="8" t="s">
        <v>85</v>
      </c>
      <c r="G350" s="14"/>
      <c r="H350" s="10">
        <v>26.111029411764704</v>
      </c>
      <c r="I350" s="8" t="s">
        <v>47</v>
      </c>
      <c r="J350" s="8" t="s">
        <v>32</v>
      </c>
      <c r="K350" s="8" t="s">
        <v>33</v>
      </c>
      <c r="L350" s="8" t="s">
        <v>250</v>
      </c>
      <c r="M350" s="15" t="str">
        <f>HYPERLINK("http://slimages.macys.com/is/image/MCY/9798710 ")</f>
        <v xml:space="preserve">http://slimages.macys.com/is/image/MCY/9798710 </v>
      </c>
      <c r="N350" s="13"/>
    </row>
    <row r="351" spans="1:14" ht="60" x14ac:dyDescent="0.25">
      <c r="A351" s="14" t="s">
        <v>315</v>
      </c>
      <c r="B351" s="8" t="s">
        <v>316</v>
      </c>
      <c r="C351" s="9">
        <v>1</v>
      </c>
      <c r="D351" s="10">
        <v>88.99</v>
      </c>
      <c r="E351" s="9" t="s">
        <v>317</v>
      </c>
      <c r="F351" s="8" t="s">
        <v>114</v>
      </c>
      <c r="G351" s="14"/>
      <c r="H351" s="10">
        <v>23.501470588235293</v>
      </c>
      <c r="I351" s="8" t="s">
        <v>47</v>
      </c>
      <c r="J351" s="8" t="s">
        <v>32</v>
      </c>
      <c r="K351" s="8" t="s">
        <v>33</v>
      </c>
      <c r="L351" s="8" t="s">
        <v>318</v>
      </c>
      <c r="M351" s="15" t="str">
        <f>HYPERLINK("http://slimages.macys.com/is/image/MCY/12071212 ")</f>
        <v xml:space="preserve">http://slimages.macys.com/is/image/MCY/12071212 </v>
      </c>
      <c r="N351" s="13"/>
    </row>
    <row r="352" spans="1:14" ht="36" x14ac:dyDescent="0.25">
      <c r="A352" s="14" t="s">
        <v>441</v>
      </c>
      <c r="B352" s="8" t="s">
        <v>442</v>
      </c>
      <c r="C352" s="9">
        <v>1</v>
      </c>
      <c r="D352" s="10">
        <v>155.99</v>
      </c>
      <c r="E352" s="9" t="s">
        <v>443</v>
      </c>
      <c r="F352" s="8" t="s">
        <v>38</v>
      </c>
      <c r="G352" s="14"/>
      <c r="H352" s="10">
        <v>20.002941176470586</v>
      </c>
      <c r="I352" s="8" t="s">
        <v>31</v>
      </c>
      <c r="J352" s="8" t="s">
        <v>32</v>
      </c>
      <c r="K352" s="8" t="s">
        <v>33</v>
      </c>
      <c r="L352" s="8" t="s">
        <v>440</v>
      </c>
      <c r="M352" s="15" t="str">
        <f>HYPERLINK("http://slimages.macys.com/is/image/MCY/12497432 ")</f>
        <v xml:space="preserve">http://slimages.macys.com/is/image/MCY/12497432 </v>
      </c>
      <c r="N352" s="13"/>
    </row>
    <row r="353" spans="1:14" ht="36" x14ac:dyDescent="0.25">
      <c r="A353" s="14" t="s">
        <v>437</v>
      </c>
      <c r="B353" s="8" t="s">
        <v>438</v>
      </c>
      <c r="C353" s="9">
        <v>1</v>
      </c>
      <c r="D353" s="10">
        <v>155.99</v>
      </c>
      <c r="E353" s="9" t="s">
        <v>439</v>
      </c>
      <c r="F353" s="8" t="s">
        <v>85</v>
      </c>
      <c r="G353" s="14"/>
      <c r="H353" s="10">
        <v>20.002941176470586</v>
      </c>
      <c r="I353" s="8" t="s">
        <v>31</v>
      </c>
      <c r="J353" s="8" t="s">
        <v>32</v>
      </c>
      <c r="K353" s="8" t="s">
        <v>33</v>
      </c>
      <c r="L353" s="8" t="s">
        <v>440</v>
      </c>
      <c r="M353" s="15" t="str">
        <f>HYPERLINK("http://slimages.macys.com/is/image/MCY/12497432 ")</f>
        <v xml:space="preserve">http://slimages.macys.com/is/image/MCY/12497432 </v>
      </c>
      <c r="N353" s="13"/>
    </row>
    <row r="354" spans="1:14" ht="96" x14ac:dyDescent="0.25">
      <c r="A354" s="14" t="s">
        <v>357</v>
      </c>
      <c r="B354" s="8" t="s">
        <v>358</v>
      </c>
      <c r="C354" s="9">
        <v>1</v>
      </c>
      <c r="D354" s="10">
        <v>171.99</v>
      </c>
      <c r="E354" s="9" t="s">
        <v>359</v>
      </c>
      <c r="F354" s="8" t="s">
        <v>30</v>
      </c>
      <c r="G354" s="14"/>
      <c r="H354" s="10">
        <v>22.425000000000001</v>
      </c>
      <c r="I354" s="8" t="s">
        <v>31</v>
      </c>
      <c r="J354" s="8" t="s">
        <v>32</v>
      </c>
      <c r="K354" s="8" t="s">
        <v>33</v>
      </c>
      <c r="L354" s="8" t="s">
        <v>360</v>
      </c>
      <c r="M354" s="15" t="str">
        <f>HYPERLINK("http://slimages.macys.com/is/image/MCY/12493024 ")</f>
        <v xml:space="preserve">http://slimages.macys.com/is/image/MCY/12493024 </v>
      </c>
      <c r="N354" s="13"/>
    </row>
    <row r="355" spans="1:14" ht="72" x14ac:dyDescent="0.25">
      <c r="A355" s="14" t="s">
        <v>352</v>
      </c>
      <c r="B355" s="8" t="s">
        <v>353</v>
      </c>
      <c r="C355" s="9">
        <v>1</v>
      </c>
      <c r="D355" s="10">
        <v>129.99</v>
      </c>
      <c r="E355" s="9" t="s">
        <v>354</v>
      </c>
      <c r="F355" s="8" t="s">
        <v>355</v>
      </c>
      <c r="G355" s="14"/>
      <c r="H355" s="10">
        <v>22.425000000000001</v>
      </c>
      <c r="I355" s="8" t="s">
        <v>31</v>
      </c>
      <c r="J355" s="8" t="s">
        <v>32</v>
      </c>
      <c r="K355" s="8" t="s">
        <v>33</v>
      </c>
      <c r="L355" s="8" t="s">
        <v>356</v>
      </c>
      <c r="M355" s="15" t="str">
        <f>HYPERLINK("http://slimages.macys.com/is/image/MCY/9627883 ")</f>
        <v xml:space="preserve">http://slimages.macys.com/is/image/MCY/9627883 </v>
      </c>
      <c r="N355" s="13"/>
    </row>
    <row r="356" spans="1:14" ht="36" x14ac:dyDescent="0.25">
      <c r="A356" s="14" t="s">
        <v>104</v>
      </c>
      <c r="B356" s="8" t="s">
        <v>105</v>
      </c>
      <c r="C356" s="9">
        <v>1</v>
      </c>
      <c r="D356" s="10">
        <v>129.02000000000001</v>
      </c>
      <c r="E356" s="9" t="s">
        <v>106</v>
      </c>
      <c r="F356" s="8"/>
      <c r="G356" s="14"/>
      <c r="H356" s="10">
        <v>37.888235294117642</v>
      </c>
      <c r="I356" s="8" t="s">
        <v>31</v>
      </c>
      <c r="J356" s="8" t="s">
        <v>32</v>
      </c>
      <c r="K356" s="8"/>
      <c r="L356" s="8"/>
      <c r="M356" s="15" t="str">
        <f>HYPERLINK("http://slimages.macys.com/is/image/MCY/17562120 ")</f>
        <v xml:space="preserve">http://slimages.macys.com/is/image/MCY/17562120 </v>
      </c>
      <c r="N356" s="13"/>
    </row>
    <row r="357" spans="1:14" ht="180" x14ac:dyDescent="0.25">
      <c r="A357" s="14" t="s">
        <v>120</v>
      </c>
      <c r="B357" s="8" t="s">
        <v>121</v>
      </c>
      <c r="C357" s="9">
        <v>1</v>
      </c>
      <c r="D357" s="10">
        <v>264.99</v>
      </c>
      <c r="E357" s="9" t="s">
        <v>122</v>
      </c>
      <c r="F357" s="8" t="s">
        <v>123</v>
      </c>
      <c r="G357" s="14"/>
      <c r="H357" s="10">
        <v>35.647058823529406</v>
      </c>
      <c r="I357" s="8" t="s">
        <v>31</v>
      </c>
      <c r="J357" s="8" t="s">
        <v>32</v>
      </c>
      <c r="K357" s="8" t="s">
        <v>33</v>
      </c>
      <c r="L357" s="8" t="s">
        <v>124</v>
      </c>
      <c r="M357" s="15" t="str">
        <f>HYPERLINK("http://slimages.macys.com/is/image/MCY/12493383 ")</f>
        <v xml:space="preserve">http://slimages.macys.com/is/image/MCY/12493383 </v>
      </c>
      <c r="N357" s="13"/>
    </row>
    <row r="358" spans="1:14" ht="36" x14ac:dyDescent="0.25">
      <c r="A358" s="14" t="s">
        <v>821</v>
      </c>
      <c r="B358" s="8" t="s">
        <v>822</v>
      </c>
      <c r="C358" s="9">
        <v>3</v>
      </c>
      <c r="D358" s="10">
        <v>47.99</v>
      </c>
      <c r="E358" s="9" t="s">
        <v>823</v>
      </c>
      <c r="F358" s="8" t="s">
        <v>118</v>
      </c>
      <c r="G358" s="14"/>
      <c r="H358" s="10">
        <v>11.524264705882352</v>
      </c>
      <c r="I358" s="8" t="s">
        <v>47</v>
      </c>
      <c r="J358" s="8" t="s">
        <v>32</v>
      </c>
      <c r="K358" s="8" t="s">
        <v>33</v>
      </c>
      <c r="L358" s="8" t="s">
        <v>824</v>
      </c>
      <c r="M358" s="15" t="str">
        <f>HYPERLINK("http://slimages.macys.com/is/image/MCY/10015498 ")</f>
        <v xml:space="preserve">http://slimages.macys.com/is/image/MCY/10015498 </v>
      </c>
      <c r="N358" s="13"/>
    </row>
    <row r="359" spans="1:14" ht="36" x14ac:dyDescent="0.25">
      <c r="A359" s="14" t="s">
        <v>825</v>
      </c>
      <c r="B359" s="8" t="s">
        <v>826</v>
      </c>
      <c r="C359" s="9">
        <v>2</v>
      </c>
      <c r="D359" s="10">
        <v>47.99</v>
      </c>
      <c r="E359" s="9" t="s">
        <v>827</v>
      </c>
      <c r="F359" s="8" t="s">
        <v>114</v>
      </c>
      <c r="G359" s="14"/>
      <c r="H359" s="10">
        <v>11.524264705882352</v>
      </c>
      <c r="I359" s="8" t="s">
        <v>47</v>
      </c>
      <c r="J359" s="8" t="s">
        <v>32</v>
      </c>
      <c r="K359" s="8" t="s">
        <v>33</v>
      </c>
      <c r="L359" s="8" t="s">
        <v>824</v>
      </c>
      <c r="M359" s="15" t="str">
        <f>HYPERLINK("http://slimages.macys.com/is/image/MCY/10015498 ")</f>
        <v xml:space="preserve">http://slimages.macys.com/is/image/MCY/10015498 </v>
      </c>
      <c r="N359" s="13"/>
    </row>
    <row r="360" spans="1:14" ht="36" x14ac:dyDescent="0.25">
      <c r="A360" s="14" t="s">
        <v>1037</v>
      </c>
      <c r="B360" s="8" t="s">
        <v>1038</v>
      </c>
      <c r="C360" s="9">
        <v>2</v>
      </c>
      <c r="D360" s="10">
        <v>37.99</v>
      </c>
      <c r="E360" s="9" t="s">
        <v>1039</v>
      </c>
      <c r="F360" s="8" t="s">
        <v>85</v>
      </c>
      <c r="G360" s="14" t="s">
        <v>800</v>
      </c>
      <c r="H360" s="10">
        <v>9.2235294117647051</v>
      </c>
      <c r="I360" s="8" t="s">
        <v>47</v>
      </c>
      <c r="J360" s="8" t="s">
        <v>32</v>
      </c>
      <c r="K360" s="8" t="s">
        <v>33</v>
      </c>
      <c r="L360" s="8" t="s">
        <v>1036</v>
      </c>
      <c r="M360" s="15" t="str">
        <f>HYPERLINK("http://slimages.macys.com/is/image/MCY/9602308 ")</f>
        <v xml:space="preserve">http://slimages.macys.com/is/image/MCY/9602308 </v>
      </c>
      <c r="N360" s="13"/>
    </row>
    <row r="361" spans="1:14" ht="36" x14ac:dyDescent="0.25">
      <c r="A361" s="14" t="s">
        <v>1033</v>
      </c>
      <c r="B361" s="8" t="s">
        <v>1034</v>
      </c>
      <c r="C361" s="9">
        <v>2</v>
      </c>
      <c r="D361" s="10">
        <v>37.99</v>
      </c>
      <c r="E361" s="9" t="s">
        <v>1035</v>
      </c>
      <c r="F361" s="8" t="s">
        <v>30</v>
      </c>
      <c r="G361" s="14" t="s">
        <v>800</v>
      </c>
      <c r="H361" s="10">
        <v>9.2235294117647051</v>
      </c>
      <c r="I361" s="8" t="s">
        <v>47</v>
      </c>
      <c r="J361" s="8" t="s">
        <v>32</v>
      </c>
      <c r="K361" s="8" t="s">
        <v>33</v>
      </c>
      <c r="L361" s="8" t="s">
        <v>1036</v>
      </c>
      <c r="M361" s="15" t="str">
        <f>HYPERLINK("http://slimages.macys.com/is/image/MCY/9602308 ")</f>
        <v xml:space="preserve">http://slimages.macys.com/is/image/MCY/9602308 </v>
      </c>
      <c r="N361" s="13"/>
    </row>
    <row r="362" spans="1:14" ht="36" x14ac:dyDescent="0.25">
      <c r="A362" s="14" t="s">
        <v>107</v>
      </c>
      <c r="B362" s="8" t="s">
        <v>108</v>
      </c>
      <c r="C362" s="9">
        <v>1</v>
      </c>
      <c r="D362" s="10">
        <v>143.99</v>
      </c>
      <c r="E362" s="9" t="s">
        <v>109</v>
      </c>
      <c r="F362" s="8" t="s">
        <v>85</v>
      </c>
      <c r="G362" s="14"/>
      <c r="H362" s="10">
        <v>36.36397058823529</v>
      </c>
      <c r="I362" s="8" t="s">
        <v>47</v>
      </c>
      <c r="J362" s="8" t="s">
        <v>32</v>
      </c>
      <c r="K362" s="8" t="s">
        <v>33</v>
      </c>
      <c r="L362" s="8" t="s">
        <v>110</v>
      </c>
      <c r="M362" s="15" t="str">
        <f>HYPERLINK("http://slimages.macys.com/is/image/MCY/12290540 ")</f>
        <v xml:space="preserve">http://slimages.macys.com/is/image/MCY/12290540 </v>
      </c>
      <c r="N362" s="13"/>
    </row>
    <row r="363" spans="1:14" ht="36" x14ac:dyDescent="0.25">
      <c r="A363" s="14" t="s">
        <v>107</v>
      </c>
      <c r="B363" s="8" t="s">
        <v>108</v>
      </c>
      <c r="C363" s="9">
        <v>1</v>
      </c>
      <c r="D363" s="10">
        <v>143.99</v>
      </c>
      <c r="E363" s="9" t="s">
        <v>109</v>
      </c>
      <c r="F363" s="8" t="s">
        <v>85</v>
      </c>
      <c r="G363" s="14"/>
      <c r="H363" s="10">
        <v>36.36397058823529</v>
      </c>
      <c r="I363" s="8" t="s">
        <v>47</v>
      </c>
      <c r="J363" s="8" t="s">
        <v>32</v>
      </c>
      <c r="K363" s="8" t="s">
        <v>33</v>
      </c>
      <c r="L363" s="8" t="s">
        <v>110</v>
      </c>
      <c r="M363" s="15" t="str">
        <f>HYPERLINK("http://slimages.macys.com/is/image/MCY/12290540 ")</f>
        <v xml:space="preserve">http://slimages.macys.com/is/image/MCY/12290540 </v>
      </c>
      <c r="N363" s="13"/>
    </row>
    <row r="364" spans="1:14" ht="36" x14ac:dyDescent="0.25">
      <c r="A364" s="14" t="s">
        <v>111</v>
      </c>
      <c r="B364" s="8" t="s">
        <v>112</v>
      </c>
      <c r="C364" s="9">
        <v>1</v>
      </c>
      <c r="D364" s="10">
        <v>143.99</v>
      </c>
      <c r="E364" s="9" t="s">
        <v>113</v>
      </c>
      <c r="F364" s="8" t="s">
        <v>114</v>
      </c>
      <c r="G364" s="14"/>
      <c r="H364" s="10">
        <v>36.36397058823529</v>
      </c>
      <c r="I364" s="8" t="s">
        <v>47</v>
      </c>
      <c r="J364" s="8" t="s">
        <v>32</v>
      </c>
      <c r="K364" s="8" t="s">
        <v>33</v>
      </c>
      <c r="L364" s="8" t="s">
        <v>110</v>
      </c>
      <c r="M364" s="15" t="str">
        <f>HYPERLINK("http://slimages.macys.com/is/image/MCY/12290540 ")</f>
        <v xml:space="preserve">http://slimages.macys.com/is/image/MCY/12290540 </v>
      </c>
      <c r="N364" s="13"/>
    </row>
    <row r="365" spans="1:14" ht="72" x14ac:dyDescent="0.25">
      <c r="A365" s="14" t="s">
        <v>459</v>
      </c>
      <c r="B365" s="8" t="s">
        <v>460</v>
      </c>
      <c r="C365" s="9">
        <v>1</v>
      </c>
      <c r="D365" s="10">
        <v>77.989999999999995</v>
      </c>
      <c r="E365" s="9" t="s">
        <v>461</v>
      </c>
      <c r="F365" s="8" t="s">
        <v>388</v>
      </c>
      <c r="G365" s="14"/>
      <c r="H365" s="10">
        <v>19.579411764705881</v>
      </c>
      <c r="I365" s="8" t="s">
        <v>47</v>
      </c>
      <c r="J365" s="8" t="s">
        <v>32</v>
      </c>
      <c r="K365" s="8" t="s">
        <v>33</v>
      </c>
      <c r="L365" s="8" t="s">
        <v>462</v>
      </c>
      <c r="M365" s="15" t="str">
        <f>HYPERLINK("http://slimages.macys.com/is/image/MCY/12291966 ")</f>
        <v xml:space="preserve">http://slimages.macys.com/is/image/MCY/12291966 </v>
      </c>
      <c r="N365" s="13"/>
    </row>
    <row r="366" spans="1:14" ht="36" x14ac:dyDescent="0.25">
      <c r="A366" s="14" t="s">
        <v>361</v>
      </c>
      <c r="B366" s="8" t="s">
        <v>362</v>
      </c>
      <c r="C366" s="9">
        <v>1</v>
      </c>
      <c r="D366" s="10">
        <v>88.99</v>
      </c>
      <c r="E366" s="9" t="s">
        <v>363</v>
      </c>
      <c r="F366" s="8" t="s">
        <v>30</v>
      </c>
      <c r="G366" s="14"/>
      <c r="H366" s="10">
        <v>22.37426470588235</v>
      </c>
      <c r="I366" s="8" t="s">
        <v>47</v>
      </c>
      <c r="J366" s="8" t="s">
        <v>32</v>
      </c>
      <c r="K366" s="8" t="s">
        <v>33</v>
      </c>
      <c r="L366" s="8"/>
      <c r="M366" s="15" t="str">
        <f>HYPERLINK("http://slimages.macys.com/is/image/MCY/12291966 ")</f>
        <v xml:space="preserve">http://slimages.macys.com/is/image/MCY/12291966 </v>
      </c>
      <c r="N366" s="13"/>
    </row>
    <row r="367" spans="1:14" ht="36" x14ac:dyDescent="0.25">
      <c r="A367" s="14" t="s">
        <v>364</v>
      </c>
      <c r="B367" s="8" t="s">
        <v>365</v>
      </c>
      <c r="C367" s="9">
        <v>1</v>
      </c>
      <c r="D367" s="10">
        <v>88.99</v>
      </c>
      <c r="E367" s="9" t="s">
        <v>366</v>
      </c>
      <c r="F367" s="8" t="s">
        <v>164</v>
      </c>
      <c r="G367" s="14"/>
      <c r="H367" s="10">
        <v>22.37426470588235</v>
      </c>
      <c r="I367" s="8" t="s">
        <v>47</v>
      </c>
      <c r="J367" s="8" t="s">
        <v>32</v>
      </c>
      <c r="K367" s="8" t="s">
        <v>33</v>
      </c>
      <c r="L367" s="8"/>
      <c r="M367" s="15" t="str">
        <f>HYPERLINK("http://slimages.macys.com/is/image/MCY/12291966 ")</f>
        <v xml:space="preserve">http://slimages.macys.com/is/image/MCY/12291966 </v>
      </c>
      <c r="N367" s="13"/>
    </row>
    <row r="368" spans="1:14" ht="36" x14ac:dyDescent="0.25">
      <c r="A368" s="14" t="s">
        <v>1405</v>
      </c>
      <c r="B368" s="8" t="s">
        <v>1406</v>
      </c>
      <c r="C368" s="9">
        <v>1</v>
      </c>
      <c r="D368" s="10">
        <v>27.99</v>
      </c>
      <c r="E368" s="9" t="s">
        <v>1407</v>
      </c>
      <c r="F368" s="8" t="s">
        <v>38</v>
      </c>
      <c r="G368" s="14"/>
      <c r="H368" s="10">
        <v>6.0426470588235288</v>
      </c>
      <c r="I368" s="8" t="s">
        <v>47</v>
      </c>
      <c r="J368" s="8" t="s">
        <v>32</v>
      </c>
      <c r="K368" s="8" t="s">
        <v>33</v>
      </c>
      <c r="L368" s="8" t="s">
        <v>200</v>
      </c>
      <c r="M368" s="15" t="str">
        <f>HYPERLINK("http://slimages.macys.com/is/image/MCY/16396397 ")</f>
        <v xml:space="preserve">http://slimages.macys.com/is/image/MCY/16396397 </v>
      </c>
      <c r="N368" s="13"/>
    </row>
    <row r="369" spans="1:14" ht="36" x14ac:dyDescent="0.25">
      <c r="A369" s="14" t="s">
        <v>1044</v>
      </c>
      <c r="B369" s="8" t="s">
        <v>1045</v>
      </c>
      <c r="C369" s="9">
        <v>1</v>
      </c>
      <c r="D369" s="10">
        <v>39.99</v>
      </c>
      <c r="E369" s="9" t="s">
        <v>1046</v>
      </c>
      <c r="F369" s="8" t="s">
        <v>118</v>
      </c>
      <c r="G369" s="14"/>
      <c r="H369" s="10">
        <v>9.1629411764705875</v>
      </c>
      <c r="I369" s="8" t="s">
        <v>402</v>
      </c>
      <c r="J369" s="8" t="s">
        <v>32</v>
      </c>
      <c r="K369" s="8" t="s">
        <v>33</v>
      </c>
      <c r="L369" s="8" t="s">
        <v>1047</v>
      </c>
      <c r="M369" s="15" t="str">
        <f>HYPERLINK("http://slimages.macys.com/is/image/MCY/10082264 ")</f>
        <v xml:space="preserve">http://slimages.macys.com/is/image/MCY/10082264 </v>
      </c>
      <c r="N369" s="13"/>
    </row>
    <row r="370" spans="1:14" ht="48" x14ac:dyDescent="0.25">
      <c r="A370" s="14" t="s">
        <v>410</v>
      </c>
      <c r="B370" s="8" t="s">
        <v>411</v>
      </c>
      <c r="C370" s="9">
        <v>1</v>
      </c>
      <c r="D370" s="10">
        <v>77.989999999999995</v>
      </c>
      <c r="E370" s="9" t="s">
        <v>412</v>
      </c>
      <c r="F370" s="8" t="s">
        <v>85</v>
      </c>
      <c r="G370" s="14"/>
      <c r="H370" s="10">
        <v>20.891911764705881</v>
      </c>
      <c r="I370" s="8" t="s">
        <v>47</v>
      </c>
      <c r="J370" s="8" t="s">
        <v>32</v>
      </c>
      <c r="K370" s="8" t="s">
        <v>33</v>
      </c>
      <c r="L370" s="8" t="s">
        <v>413</v>
      </c>
      <c r="M370" s="15" t="str">
        <f>HYPERLINK("http://slimages.macys.com/is/image/MCY/12056510 ")</f>
        <v xml:space="preserve">http://slimages.macys.com/is/image/MCY/12056510 </v>
      </c>
      <c r="N370" s="13"/>
    </row>
    <row r="371" spans="1:14" ht="132" x14ac:dyDescent="0.25">
      <c r="A371" s="14" t="s">
        <v>239</v>
      </c>
      <c r="B371" s="8" t="s">
        <v>240</v>
      </c>
      <c r="C371" s="9">
        <v>1</v>
      </c>
      <c r="D371" s="10">
        <v>149.99</v>
      </c>
      <c r="E371" s="9" t="s">
        <v>241</v>
      </c>
      <c r="F371" s="8" t="s">
        <v>118</v>
      </c>
      <c r="G371" s="14"/>
      <c r="H371" s="10">
        <v>26.51029411764706</v>
      </c>
      <c r="I371" s="8" t="s">
        <v>31</v>
      </c>
      <c r="J371" s="8" t="s">
        <v>32</v>
      </c>
      <c r="K371" s="8" t="s">
        <v>33</v>
      </c>
      <c r="L371" s="8" t="s">
        <v>242</v>
      </c>
      <c r="M371" s="15" t="str">
        <f>HYPERLINK("http://slimages.macys.com/is/image/MCY/9627798 ")</f>
        <v xml:space="preserve">http://slimages.macys.com/is/image/MCY/9627798 </v>
      </c>
      <c r="N371" s="13"/>
    </row>
    <row r="372" spans="1:14" ht="36" x14ac:dyDescent="0.25">
      <c r="A372" s="14" t="s">
        <v>912</v>
      </c>
      <c r="B372" s="8" t="s">
        <v>913</v>
      </c>
      <c r="C372" s="9">
        <v>4</v>
      </c>
      <c r="D372" s="10">
        <v>42.99</v>
      </c>
      <c r="E372" s="9" t="s">
        <v>914</v>
      </c>
      <c r="F372" s="8" t="s">
        <v>118</v>
      </c>
      <c r="G372" s="14"/>
      <c r="H372" s="10">
        <v>10.247794117647057</v>
      </c>
      <c r="I372" s="8" t="s">
        <v>47</v>
      </c>
      <c r="J372" s="8" t="s">
        <v>32</v>
      </c>
      <c r="K372" s="8" t="s">
        <v>33</v>
      </c>
      <c r="L372" s="8" t="s">
        <v>824</v>
      </c>
      <c r="M372" s="15" t="str">
        <f>HYPERLINK("http://slimages.macys.com/is/image/MCY/10015523 ")</f>
        <v xml:space="preserve">http://slimages.macys.com/is/image/MCY/10015523 </v>
      </c>
      <c r="N372" s="13"/>
    </row>
    <row r="373" spans="1:14" ht="36" x14ac:dyDescent="0.25">
      <c r="A373" s="14" t="s">
        <v>1552</v>
      </c>
      <c r="B373" s="8" t="s">
        <v>1553</v>
      </c>
      <c r="C373" s="9">
        <v>1</v>
      </c>
      <c r="D373" s="10">
        <v>19.989999999999998</v>
      </c>
      <c r="E373" s="9" t="s">
        <v>1554</v>
      </c>
      <c r="F373" s="8" t="s">
        <v>726</v>
      </c>
      <c r="G373" s="14"/>
      <c r="H373" s="10">
        <v>4.848529411764706</v>
      </c>
      <c r="I373" s="8" t="s">
        <v>47</v>
      </c>
      <c r="J373" s="8" t="s">
        <v>32</v>
      </c>
      <c r="K373" s="8" t="s">
        <v>33</v>
      </c>
      <c r="L373" s="8" t="s">
        <v>1522</v>
      </c>
      <c r="M373" s="15" t="str">
        <f>HYPERLINK("http://slimages.macys.com/is/image/MCY/3664925 ")</f>
        <v xml:space="preserve">http://slimages.macys.com/is/image/MCY/3664925 </v>
      </c>
      <c r="N373" s="13"/>
    </row>
    <row r="374" spans="1:14" ht="36" x14ac:dyDescent="0.25">
      <c r="A374" s="14" t="s">
        <v>1519</v>
      </c>
      <c r="B374" s="8" t="s">
        <v>1520</v>
      </c>
      <c r="C374" s="9">
        <v>1</v>
      </c>
      <c r="D374" s="10">
        <v>24.99</v>
      </c>
      <c r="E374" s="9" t="s">
        <v>1521</v>
      </c>
      <c r="F374" s="8" t="s">
        <v>635</v>
      </c>
      <c r="G374" s="14"/>
      <c r="H374" s="10">
        <v>5.0698529411764701</v>
      </c>
      <c r="I374" s="8" t="s">
        <v>47</v>
      </c>
      <c r="J374" s="8" t="s">
        <v>32</v>
      </c>
      <c r="K374" s="8" t="s">
        <v>33</v>
      </c>
      <c r="L374" s="8" t="s">
        <v>1522</v>
      </c>
      <c r="M374" s="15" t="str">
        <f>HYPERLINK("http://slimages.macys.com/is/image/MCY/3664925 ")</f>
        <v xml:space="preserve">http://slimages.macys.com/is/image/MCY/3664925 </v>
      </c>
      <c r="N374" s="13"/>
    </row>
    <row r="375" spans="1:14" ht="156" x14ac:dyDescent="0.25">
      <c r="A375" s="14" t="s">
        <v>297</v>
      </c>
      <c r="B375" s="8" t="s">
        <v>298</v>
      </c>
      <c r="C375" s="9">
        <v>1</v>
      </c>
      <c r="D375" s="10">
        <v>139.99</v>
      </c>
      <c r="E375" s="9" t="s">
        <v>299</v>
      </c>
      <c r="F375" s="8" t="s">
        <v>300</v>
      </c>
      <c r="G375" s="14"/>
      <c r="H375" s="10">
        <v>24.463235294117649</v>
      </c>
      <c r="I375" s="8" t="s">
        <v>31</v>
      </c>
      <c r="J375" s="8" t="s">
        <v>32</v>
      </c>
      <c r="K375" s="8" t="s">
        <v>33</v>
      </c>
      <c r="L375" s="8" t="s">
        <v>301</v>
      </c>
      <c r="M375" s="15" t="str">
        <f>HYPERLINK("http://slimages.macys.com/is/image/MCY/9627812 ")</f>
        <v xml:space="preserve">http://slimages.macys.com/is/image/MCY/9627812 </v>
      </c>
      <c r="N375" s="13"/>
    </row>
    <row r="376" spans="1:14" ht="36" x14ac:dyDescent="0.25">
      <c r="A376" s="14" t="s">
        <v>157</v>
      </c>
      <c r="B376" s="8" t="s">
        <v>158</v>
      </c>
      <c r="C376" s="9">
        <v>1</v>
      </c>
      <c r="D376" s="10">
        <v>179.99</v>
      </c>
      <c r="E376" s="9" t="s">
        <v>159</v>
      </c>
      <c r="F376" s="8" t="s">
        <v>114</v>
      </c>
      <c r="G376" s="14"/>
      <c r="H376" s="10">
        <v>31.861764705882351</v>
      </c>
      <c r="I376" s="8" t="s">
        <v>31</v>
      </c>
      <c r="J376" s="8" t="s">
        <v>32</v>
      </c>
      <c r="K376" s="8" t="s">
        <v>33</v>
      </c>
      <c r="L376" s="8" t="s">
        <v>160</v>
      </c>
      <c r="M376" s="15" t="str">
        <f>HYPERLINK("http://slimages.macys.com/is/image/MCY/9627792 ")</f>
        <v xml:space="preserve">http://slimages.macys.com/is/image/MCY/9627792 </v>
      </c>
      <c r="N376" s="13"/>
    </row>
    <row r="377" spans="1:14" ht="60" x14ac:dyDescent="0.25">
      <c r="A377" s="14" t="s">
        <v>843</v>
      </c>
      <c r="B377" s="8" t="s">
        <v>844</v>
      </c>
      <c r="C377" s="9">
        <v>1</v>
      </c>
      <c r="D377" s="10">
        <v>49.99</v>
      </c>
      <c r="E377" s="9" t="s">
        <v>845</v>
      </c>
      <c r="F377" s="8" t="s">
        <v>238</v>
      </c>
      <c r="G377" s="14" t="s">
        <v>695</v>
      </c>
      <c r="H377" s="10">
        <v>11.2875</v>
      </c>
      <c r="I377" s="8" t="s">
        <v>47</v>
      </c>
      <c r="J377" s="8" t="s">
        <v>32</v>
      </c>
      <c r="K377" s="8" t="s">
        <v>33</v>
      </c>
      <c r="L377" s="8" t="s">
        <v>846</v>
      </c>
      <c r="M377" s="15" t="str">
        <f>HYPERLINK("http://slimages.macys.com/is/image/MCY/9009150 ")</f>
        <v xml:space="preserve">http://slimages.macys.com/is/image/MCY/9009150 </v>
      </c>
      <c r="N377" s="13"/>
    </row>
    <row r="378" spans="1:14" ht="108" x14ac:dyDescent="0.25">
      <c r="A378" s="14" t="s">
        <v>125</v>
      </c>
      <c r="B378" s="8" t="s">
        <v>126</v>
      </c>
      <c r="C378" s="9">
        <v>1</v>
      </c>
      <c r="D378" s="10">
        <v>179.99</v>
      </c>
      <c r="E378" s="9" t="s">
        <v>127</v>
      </c>
      <c r="F378" s="8"/>
      <c r="G378" s="14"/>
      <c r="H378" s="10">
        <v>35.51911764705882</v>
      </c>
      <c r="I378" s="8" t="s">
        <v>31</v>
      </c>
      <c r="J378" s="8" t="s">
        <v>32</v>
      </c>
      <c r="K378" s="8" t="s">
        <v>33</v>
      </c>
      <c r="L378" s="8" t="s">
        <v>128</v>
      </c>
      <c r="M378" s="15" t="str">
        <f>HYPERLINK("http://slimages.macys.com/is/image/MCY/9627922 ")</f>
        <v xml:space="preserve">http://slimages.macys.com/is/image/MCY/9627922 </v>
      </c>
      <c r="N378" s="13"/>
    </row>
    <row r="379" spans="1:14" ht="120" x14ac:dyDescent="0.25">
      <c r="A379" s="14" t="s">
        <v>183</v>
      </c>
      <c r="B379" s="8" t="s">
        <v>184</v>
      </c>
      <c r="C379" s="9">
        <v>1</v>
      </c>
      <c r="D379" s="10">
        <v>169.99</v>
      </c>
      <c r="E379" s="9" t="s">
        <v>185</v>
      </c>
      <c r="F379" s="8" t="s">
        <v>38</v>
      </c>
      <c r="G379" s="14"/>
      <c r="H379" s="10">
        <v>29.735294117647054</v>
      </c>
      <c r="I379" s="8" t="s">
        <v>31</v>
      </c>
      <c r="J379" s="8" t="s">
        <v>32</v>
      </c>
      <c r="K379" s="8" t="s">
        <v>33</v>
      </c>
      <c r="L379" s="8" t="s">
        <v>186</v>
      </c>
      <c r="M379" s="15" t="str">
        <f>HYPERLINK("http://slimages.macys.com/is/image/MCY/9627953 ")</f>
        <v xml:space="preserve">http://slimages.macys.com/is/image/MCY/9627953 </v>
      </c>
      <c r="N379" s="13"/>
    </row>
    <row r="380" spans="1:14" ht="36" x14ac:dyDescent="0.25">
      <c r="A380" s="14" t="s">
        <v>755</v>
      </c>
      <c r="B380" s="8" t="s">
        <v>756</v>
      </c>
      <c r="C380" s="9">
        <v>1</v>
      </c>
      <c r="D380" s="10">
        <v>63.99</v>
      </c>
      <c r="E380" s="9" t="s">
        <v>757</v>
      </c>
      <c r="F380" s="8" t="s">
        <v>85</v>
      </c>
      <c r="G380" s="14"/>
      <c r="H380" s="10">
        <v>12.233823529411765</v>
      </c>
      <c r="I380" s="8" t="s">
        <v>31</v>
      </c>
      <c r="J380" s="8" t="s">
        <v>32</v>
      </c>
      <c r="K380" s="8" t="s">
        <v>33</v>
      </c>
      <c r="L380" s="8" t="s">
        <v>79</v>
      </c>
      <c r="M380" s="15" t="str">
        <f>HYPERLINK("http://slimages.macys.com/is/image/MCY/9767705 ")</f>
        <v xml:space="preserve">http://slimages.macys.com/is/image/MCY/9767705 </v>
      </c>
      <c r="N380" s="13"/>
    </row>
    <row r="381" spans="1:14" ht="36" x14ac:dyDescent="0.25">
      <c r="A381" s="14" t="s">
        <v>662</v>
      </c>
      <c r="B381" s="8" t="s">
        <v>663</v>
      </c>
      <c r="C381" s="9">
        <v>3</v>
      </c>
      <c r="D381" s="10">
        <v>58.99</v>
      </c>
      <c r="E381" s="9" t="s">
        <v>664</v>
      </c>
      <c r="F381" s="8" t="s">
        <v>665</v>
      </c>
      <c r="G381" s="14"/>
      <c r="H381" s="10">
        <v>13.341176470588232</v>
      </c>
      <c r="I381" s="8" t="s">
        <v>47</v>
      </c>
      <c r="J381" s="8" t="s">
        <v>32</v>
      </c>
      <c r="K381" s="8" t="s">
        <v>33</v>
      </c>
      <c r="L381" s="8" t="s">
        <v>666</v>
      </c>
      <c r="M381" s="15" t="str">
        <f>HYPERLINK("http://slimages.macys.com/is/image/MCY/9539688 ")</f>
        <v xml:space="preserve">http://slimages.macys.com/is/image/MCY/9539688 </v>
      </c>
      <c r="N381" s="13"/>
    </row>
    <row r="382" spans="1:14" ht="36" x14ac:dyDescent="0.25">
      <c r="A382" s="14" t="s">
        <v>922</v>
      </c>
      <c r="B382" s="8" t="s">
        <v>923</v>
      </c>
      <c r="C382" s="9">
        <v>2</v>
      </c>
      <c r="D382" s="10">
        <v>41.99</v>
      </c>
      <c r="E382" s="9" t="s">
        <v>924</v>
      </c>
      <c r="F382" s="8" t="s">
        <v>45</v>
      </c>
      <c r="G382" s="14"/>
      <c r="H382" s="10">
        <v>10.14485294117647</v>
      </c>
      <c r="I382" s="8" t="s">
        <v>47</v>
      </c>
      <c r="J382" s="8" t="s">
        <v>32</v>
      </c>
      <c r="K382" s="8" t="s">
        <v>33</v>
      </c>
      <c r="L382" s="8" t="s">
        <v>925</v>
      </c>
      <c r="M382" s="15" t="str">
        <f>HYPERLINK("http://slimages.macys.com/is/image/MCY/9539706 ")</f>
        <v xml:space="preserve">http://slimages.macys.com/is/image/MCY/9539706 </v>
      </c>
      <c r="N382" s="13"/>
    </row>
    <row r="383" spans="1:14" ht="36" x14ac:dyDescent="0.25">
      <c r="A383" s="14" t="s">
        <v>922</v>
      </c>
      <c r="B383" s="8" t="s">
        <v>923</v>
      </c>
      <c r="C383" s="9">
        <v>3</v>
      </c>
      <c r="D383" s="10">
        <v>41.99</v>
      </c>
      <c r="E383" s="9" t="s">
        <v>924</v>
      </c>
      <c r="F383" s="8" t="s">
        <v>45</v>
      </c>
      <c r="G383" s="14"/>
      <c r="H383" s="10">
        <v>10.14485294117647</v>
      </c>
      <c r="I383" s="8" t="s">
        <v>47</v>
      </c>
      <c r="J383" s="8" t="s">
        <v>32</v>
      </c>
      <c r="K383" s="8" t="s">
        <v>33</v>
      </c>
      <c r="L383" s="8" t="s">
        <v>925</v>
      </c>
      <c r="M383" s="15" t="str">
        <f>HYPERLINK("http://slimages.macys.com/is/image/MCY/9539706 ")</f>
        <v xml:space="preserve">http://slimages.macys.com/is/image/MCY/9539706 </v>
      </c>
      <c r="N383" s="13"/>
    </row>
    <row r="384" spans="1:14" ht="36" x14ac:dyDescent="0.25">
      <c r="A384" s="14" t="s">
        <v>1181</v>
      </c>
      <c r="B384" s="8" t="s">
        <v>1182</v>
      </c>
      <c r="C384" s="9">
        <v>2</v>
      </c>
      <c r="D384" s="10">
        <v>30.99</v>
      </c>
      <c r="E384" s="9" t="s">
        <v>1183</v>
      </c>
      <c r="F384" s="8" t="s">
        <v>45</v>
      </c>
      <c r="G384" s="14"/>
      <c r="H384" s="10">
        <v>7.7411764705882353</v>
      </c>
      <c r="I384" s="8" t="s">
        <v>47</v>
      </c>
      <c r="J384" s="8" t="s">
        <v>32</v>
      </c>
      <c r="K384" s="8" t="s">
        <v>33</v>
      </c>
      <c r="L384" s="8" t="s">
        <v>925</v>
      </c>
      <c r="M384" s="15" t="str">
        <f>HYPERLINK("http://slimages.macys.com/is/image/MCY/9539706 ")</f>
        <v xml:space="preserve">http://slimages.macys.com/is/image/MCY/9539706 </v>
      </c>
      <c r="N384" s="13"/>
    </row>
    <row r="385" spans="1:14" ht="84" x14ac:dyDescent="0.25">
      <c r="A385" s="14" t="s">
        <v>258</v>
      </c>
      <c r="B385" s="8" t="s">
        <v>259</v>
      </c>
      <c r="C385" s="9">
        <v>1</v>
      </c>
      <c r="D385" s="10">
        <v>149.99</v>
      </c>
      <c r="E385" s="9" t="s">
        <v>260</v>
      </c>
      <c r="F385" s="8" t="s">
        <v>53</v>
      </c>
      <c r="G385" s="14"/>
      <c r="H385" s="10">
        <v>25.486764705882351</v>
      </c>
      <c r="I385" s="8" t="s">
        <v>31</v>
      </c>
      <c r="J385" s="8" t="s">
        <v>32</v>
      </c>
      <c r="K385" s="8" t="s">
        <v>33</v>
      </c>
      <c r="L385" s="8" t="s">
        <v>261</v>
      </c>
      <c r="M385" s="15" t="str">
        <f>HYPERLINK("http://slimages.macys.com/is/image/MCY/9627930 ")</f>
        <v xml:space="preserve">http://slimages.macys.com/is/image/MCY/9627930 </v>
      </c>
      <c r="N385" s="13"/>
    </row>
    <row r="386" spans="1:14" ht="84" x14ac:dyDescent="0.25">
      <c r="A386" s="14" t="s">
        <v>175</v>
      </c>
      <c r="B386" s="8" t="s">
        <v>176</v>
      </c>
      <c r="C386" s="9">
        <v>1</v>
      </c>
      <c r="D386" s="10">
        <v>159.99</v>
      </c>
      <c r="E386" s="9" t="s">
        <v>177</v>
      </c>
      <c r="F386" s="8" t="s">
        <v>114</v>
      </c>
      <c r="G386" s="14"/>
      <c r="H386" s="10">
        <v>31.151470588235291</v>
      </c>
      <c r="I386" s="8" t="s">
        <v>31</v>
      </c>
      <c r="J386" s="8" t="s">
        <v>32</v>
      </c>
      <c r="K386" s="8" t="s">
        <v>33</v>
      </c>
      <c r="L386" s="8" t="s">
        <v>178</v>
      </c>
      <c r="M386" s="15" t="str">
        <f>HYPERLINK("http://slimages.macys.com/is/image/MCY/8936073 ")</f>
        <v xml:space="preserve">http://slimages.macys.com/is/image/MCY/8936073 </v>
      </c>
      <c r="N386" s="13"/>
    </row>
    <row r="387" spans="1:14" ht="36" x14ac:dyDescent="0.25">
      <c r="A387" s="14" t="s">
        <v>231</v>
      </c>
      <c r="B387" s="8" t="s">
        <v>232</v>
      </c>
      <c r="C387" s="9">
        <v>1</v>
      </c>
      <c r="D387" s="10">
        <v>133.99</v>
      </c>
      <c r="E387" s="9" t="s">
        <v>233</v>
      </c>
      <c r="F387" s="8" t="s">
        <v>38</v>
      </c>
      <c r="G387" s="14"/>
      <c r="H387" s="10">
        <v>26.913970588235294</v>
      </c>
      <c r="I387" s="8" t="s">
        <v>47</v>
      </c>
      <c r="J387" s="8" t="s">
        <v>32</v>
      </c>
      <c r="K387" s="8" t="s">
        <v>33</v>
      </c>
      <c r="L387" s="8" t="s">
        <v>234</v>
      </c>
      <c r="M387" s="15" t="str">
        <f>HYPERLINK("http://slimages.macys.com/is/image/MCY/14429855 ")</f>
        <v xml:space="preserve">http://slimages.macys.com/is/image/MCY/14429855 </v>
      </c>
      <c r="N387" s="13"/>
    </row>
    <row r="388" spans="1:14" ht="192" x14ac:dyDescent="0.25">
      <c r="A388" s="14" t="s">
        <v>403</v>
      </c>
      <c r="B388" s="8" t="s">
        <v>404</v>
      </c>
      <c r="C388" s="9">
        <v>1</v>
      </c>
      <c r="D388" s="10">
        <v>120.99</v>
      </c>
      <c r="E388" s="9" t="s">
        <v>405</v>
      </c>
      <c r="F388" s="8" t="s">
        <v>118</v>
      </c>
      <c r="G388" s="14"/>
      <c r="H388" s="10">
        <v>20.969117647058823</v>
      </c>
      <c r="I388" s="8" t="s">
        <v>31</v>
      </c>
      <c r="J388" s="8" t="s">
        <v>32</v>
      </c>
      <c r="K388" s="8" t="s">
        <v>33</v>
      </c>
      <c r="L388" s="8" t="s">
        <v>406</v>
      </c>
      <c r="M388" s="15" t="str">
        <f>HYPERLINK("http://slimages.macys.com/is/image/MCY/14429485 ")</f>
        <v xml:space="preserve">http://slimages.macys.com/is/image/MCY/14429485 </v>
      </c>
      <c r="N388" s="13"/>
    </row>
    <row r="389" spans="1:14" ht="60" x14ac:dyDescent="0.25">
      <c r="A389" s="14" t="s">
        <v>310</v>
      </c>
      <c r="B389" s="8" t="s">
        <v>311</v>
      </c>
      <c r="C389" s="9">
        <v>1</v>
      </c>
      <c r="D389" s="10">
        <v>104.99</v>
      </c>
      <c r="E389" s="9" t="s">
        <v>312</v>
      </c>
      <c r="F389" s="8" t="s">
        <v>313</v>
      </c>
      <c r="G389" s="14"/>
      <c r="H389" s="10">
        <v>23.537500000000001</v>
      </c>
      <c r="I389" s="8" t="s">
        <v>47</v>
      </c>
      <c r="J389" s="8" t="s">
        <v>32</v>
      </c>
      <c r="K389" s="8" t="s">
        <v>33</v>
      </c>
      <c r="L389" s="8" t="s">
        <v>314</v>
      </c>
      <c r="M389" s="15" t="str">
        <f>HYPERLINK("http://slimages.macys.com/is/image/MCY/10028055 ")</f>
        <v xml:space="preserve">http://slimages.macys.com/is/image/MCY/10028055 </v>
      </c>
      <c r="N389" s="13"/>
    </row>
    <row r="390" spans="1:14" ht="36" x14ac:dyDescent="0.25">
      <c r="A390" s="14" t="s">
        <v>1446</v>
      </c>
      <c r="B390" s="8" t="s">
        <v>1447</v>
      </c>
      <c r="C390" s="9">
        <v>4</v>
      </c>
      <c r="D390" s="10">
        <v>22.99</v>
      </c>
      <c r="E390" s="9" t="s">
        <v>1448</v>
      </c>
      <c r="F390" s="8" t="s">
        <v>85</v>
      </c>
      <c r="G390" s="14" t="s">
        <v>800</v>
      </c>
      <c r="H390" s="10">
        <v>5.8779411764705873</v>
      </c>
      <c r="I390" s="8" t="s">
        <v>47</v>
      </c>
      <c r="J390" s="8" t="s">
        <v>32</v>
      </c>
      <c r="K390" s="8" t="s">
        <v>33</v>
      </c>
      <c r="L390" s="8" t="s">
        <v>200</v>
      </c>
      <c r="M390" s="15" t="str">
        <f>HYPERLINK("http://slimages.macys.com/is/image/MCY/16421101 ")</f>
        <v xml:space="preserve">http://slimages.macys.com/is/image/MCY/16421101 </v>
      </c>
      <c r="N390" s="13"/>
    </row>
    <row r="391" spans="1:14" ht="36" x14ac:dyDescent="0.25">
      <c r="A391" s="14" t="s">
        <v>1164</v>
      </c>
      <c r="B391" s="8" t="s">
        <v>1165</v>
      </c>
      <c r="C391" s="9">
        <v>1</v>
      </c>
      <c r="D391" s="10">
        <v>34.99</v>
      </c>
      <c r="E391" s="9" t="s">
        <v>1166</v>
      </c>
      <c r="F391" s="8" t="s">
        <v>651</v>
      </c>
      <c r="G391" s="14"/>
      <c r="H391" s="10">
        <v>7.8595588235294116</v>
      </c>
      <c r="I391" s="8" t="s">
        <v>47</v>
      </c>
      <c r="J391" s="8" t="s">
        <v>32</v>
      </c>
      <c r="K391" s="8" t="s">
        <v>33</v>
      </c>
      <c r="L391" s="8"/>
      <c r="M391" s="15" t="str">
        <f>HYPERLINK("http://slimages.macys.com/is/image/MCY/16421124 ")</f>
        <v xml:space="preserve">http://slimages.macys.com/is/image/MCY/16421124 </v>
      </c>
      <c r="N391" s="13"/>
    </row>
    <row r="392" spans="1:14" ht="36" x14ac:dyDescent="0.25">
      <c r="A392" s="14" t="s">
        <v>648</v>
      </c>
      <c r="B392" s="8" t="s">
        <v>649</v>
      </c>
      <c r="C392" s="9">
        <v>1</v>
      </c>
      <c r="D392" s="10">
        <v>49.99</v>
      </c>
      <c r="E392" s="9" t="s">
        <v>650</v>
      </c>
      <c r="F392" s="8" t="s">
        <v>651</v>
      </c>
      <c r="G392" s="14"/>
      <c r="H392" s="10">
        <v>13.464705882352941</v>
      </c>
      <c r="I392" s="8" t="s">
        <v>47</v>
      </c>
      <c r="J392" s="8" t="s">
        <v>32</v>
      </c>
      <c r="K392" s="8" t="s">
        <v>33</v>
      </c>
      <c r="L392" s="8"/>
      <c r="M392" s="15" t="str">
        <f>HYPERLINK("http://slimages.macys.com/is/image/MCY/8958381 ")</f>
        <v xml:space="preserve">http://slimages.macys.com/is/image/MCY/8958381 </v>
      </c>
      <c r="N392" s="13"/>
    </row>
    <row r="393" spans="1:14" ht="48" x14ac:dyDescent="0.25">
      <c r="A393" s="14" t="s">
        <v>276</v>
      </c>
      <c r="B393" s="8" t="s">
        <v>277</v>
      </c>
      <c r="C393" s="9">
        <v>1</v>
      </c>
      <c r="D393" s="10">
        <v>121.99</v>
      </c>
      <c r="E393" s="9" t="s">
        <v>278</v>
      </c>
      <c r="F393" s="8" t="s">
        <v>30</v>
      </c>
      <c r="G393" s="14" t="s">
        <v>100</v>
      </c>
      <c r="H393" s="10">
        <v>25.117647058823525</v>
      </c>
      <c r="I393" s="8" t="s">
        <v>101</v>
      </c>
      <c r="J393" s="8" t="s">
        <v>279</v>
      </c>
      <c r="K393" s="8" t="s">
        <v>33</v>
      </c>
      <c r="L393" s="8" t="s">
        <v>280</v>
      </c>
      <c r="M393" s="15" t="str">
        <f>HYPERLINK("http://slimages.macys.com/is/image/MCY/10198578 ")</f>
        <v xml:space="preserve">http://slimages.macys.com/is/image/MCY/10198578 </v>
      </c>
      <c r="N393" s="13"/>
    </row>
    <row r="394" spans="1:14" ht="60" x14ac:dyDescent="0.25">
      <c r="A394" s="14" t="s">
        <v>1679</v>
      </c>
      <c r="B394" s="8" t="s">
        <v>1680</v>
      </c>
      <c r="C394" s="9">
        <v>2</v>
      </c>
      <c r="D394" s="10">
        <v>29.99</v>
      </c>
      <c r="E394" s="9" t="s">
        <v>1681</v>
      </c>
      <c r="F394" s="8" t="s">
        <v>388</v>
      </c>
      <c r="G394" s="14"/>
      <c r="H394" s="10">
        <v>3.8647058823529412</v>
      </c>
      <c r="I394" s="8" t="s">
        <v>284</v>
      </c>
      <c r="J394" s="8" t="s">
        <v>285</v>
      </c>
      <c r="K394" s="8" t="s">
        <v>33</v>
      </c>
      <c r="L394" s="8"/>
      <c r="M394" s="15" t="str">
        <f>HYPERLINK("http://slimages.macys.com/is/image/MCY/16537026 ")</f>
        <v xml:space="preserve">http://slimages.macys.com/is/image/MCY/16537026 </v>
      </c>
      <c r="N394" s="13"/>
    </row>
    <row r="395" spans="1:14" ht="60" x14ac:dyDescent="0.25">
      <c r="A395" s="14" t="s">
        <v>1741</v>
      </c>
      <c r="B395" s="8" t="s">
        <v>1742</v>
      </c>
      <c r="C395" s="9">
        <v>2</v>
      </c>
      <c r="D395" s="10">
        <v>29.99</v>
      </c>
      <c r="E395" s="9" t="s">
        <v>1743</v>
      </c>
      <c r="F395" s="8" t="s">
        <v>118</v>
      </c>
      <c r="G395" s="14"/>
      <c r="H395" s="10">
        <v>3.255882352941176</v>
      </c>
      <c r="I395" s="8" t="s">
        <v>284</v>
      </c>
      <c r="J395" s="8" t="s">
        <v>285</v>
      </c>
      <c r="K395" s="8" t="s">
        <v>33</v>
      </c>
      <c r="L395" s="8"/>
      <c r="M395" s="15" t="str">
        <f>HYPERLINK("http://slimages.macys.com/is/image/MCY/16633330 ")</f>
        <v xml:space="preserve">http://slimages.macys.com/is/image/MCY/16633330 </v>
      </c>
      <c r="N395" s="13"/>
    </row>
    <row r="396" spans="1:14" ht="36" x14ac:dyDescent="0.25">
      <c r="A396" s="14" t="s">
        <v>1218</v>
      </c>
      <c r="B396" s="8" t="s">
        <v>1219</v>
      </c>
      <c r="C396" s="9">
        <v>1</v>
      </c>
      <c r="D396" s="10">
        <v>33.99</v>
      </c>
      <c r="E396" s="9" t="s">
        <v>1220</v>
      </c>
      <c r="F396" s="8" t="s">
        <v>96</v>
      </c>
      <c r="G396" s="14" t="s">
        <v>427</v>
      </c>
      <c r="H396" s="10">
        <v>7.5661764705882337</v>
      </c>
      <c r="I396" s="8" t="s">
        <v>47</v>
      </c>
      <c r="J396" s="8" t="s">
        <v>137</v>
      </c>
      <c r="K396" s="8" t="s">
        <v>33</v>
      </c>
      <c r="L396" s="8" t="s">
        <v>200</v>
      </c>
      <c r="M396" s="15" t="str">
        <f>HYPERLINK("http://slimages.macys.com/is/image/MCY/15937727 ")</f>
        <v xml:space="preserve">http://slimages.macys.com/is/image/MCY/15937727 </v>
      </c>
      <c r="N396" s="13"/>
    </row>
    <row r="397" spans="1:14" ht="60" x14ac:dyDescent="0.25">
      <c r="A397" s="14" t="s">
        <v>637</v>
      </c>
      <c r="B397" s="8" t="s">
        <v>638</v>
      </c>
      <c r="C397" s="9">
        <v>1</v>
      </c>
      <c r="D397" s="10">
        <v>99.99</v>
      </c>
      <c r="E397" s="9" t="s">
        <v>639</v>
      </c>
      <c r="F397" s="8" t="s">
        <v>118</v>
      </c>
      <c r="G397" s="14"/>
      <c r="H397" s="10">
        <v>13.698529411764705</v>
      </c>
      <c r="I397" s="8" t="s">
        <v>284</v>
      </c>
      <c r="J397" s="8" t="s">
        <v>285</v>
      </c>
      <c r="K397" s="8" t="s">
        <v>33</v>
      </c>
      <c r="L397" s="8"/>
      <c r="M397" s="15" t="str">
        <f>HYPERLINK("http://slimages.macys.com/is/image/MCY/16143824 ")</f>
        <v xml:space="preserve">http://slimages.macys.com/is/image/MCY/16143824 </v>
      </c>
      <c r="N397" s="13"/>
    </row>
    <row r="398" spans="1:14" ht="60" x14ac:dyDescent="0.25">
      <c r="A398" s="14" t="s">
        <v>1581</v>
      </c>
      <c r="B398" s="8" t="s">
        <v>1582</v>
      </c>
      <c r="C398" s="9">
        <v>2</v>
      </c>
      <c r="D398" s="10">
        <v>34.99</v>
      </c>
      <c r="E398" s="9" t="s">
        <v>1583</v>
      </c>
      <c r="F398" s="8" t="s">
        <v>152</v>
      </c>
      <c r="G398" s="14"/>
      <c r="H398" s="10">
        <v>4.658823529411765</v>
      </c>
      <c r="I398" s="8" t="s">
        <v>284</v>
      </c>
      <c r="J398" s="8" t="s">
        <v>285</v>
      </c>
      <c r="K398" s="8" t="s">
        <v>33</v>
      </c>
      <c r="L398" s="8"/>
      <c r="M398" s="15" t="str">
        <f>HYPERLINK("http://slimages.macys.com/is/image/MCY/16537031 ")</f>
        <v xml:space="preserve">http://slimages.macys.com/is/image/MCY/16537031 </v>
      </c>
      <c r="N398" s="13"/>
    </row>
    <row r="399" spans="1:14" ht="60" x14ac:dyDescent="0.25">
      <c r="A399" s="14" t="s">
        <v>1641</v>
      </c>
      <c r="B399" s="8" t="s">
        <v>1642</v>
      </c>
      <c r="C399" s="9">
        <v>2</v>
      </c>
      <c r="D399" s="10">
        <v>34.99</v>
      </c>
      <c r="E399" s="9" t="s">
        <v>1643</v>
      </c>
      <c r="F399" s="8" t="s">
        <v>1173</v>
      </c>
      <c r="G399" s="14"/>
      <c r="H399" s="10">
        <v>4.1911764705882355</v>
      </c>
      <c r="I399" s="8" t="s">
        <v>284</v>
      </c>
      <c r="J399" s="8" t="s">
        <v>285</v>
      </c>
      <c r="K399" s="8"/>
      <c r="L399" s="8"/>
      <c r="M399" s="15" t="str">
        <f>HYPERLINK("http://slimages.macys.com/is/image/MCY/17773190 ")</f>
        <v xml:space="preserve">http://slimages.macys.com/is/image/MCY/17773190 </v>
      </c>
      <c r="N399" s="13"/>
    </row>
    <row r="400" spans="1:14" ht="60" x14ac:dyDescent="0.25">
      <c r="A400" s="14" t="s">
        <v>1641</v>
      </c>
      <c r="B400" s="8" t="s">
        <v>1642</v>
      </c>
      <c r="C400" s="9">
        <v>2</v>
      </c>
      <c r="D400" s="10">
        <v>34.99</v>
      </c>
      <c r="E400" s="9" t="s">
        <v>1643</v>
      </c>
      <c r="F400" s="8" t="s">
        <v>1173</v>
      </c>
      <c r="G400" s="14"/>
      <c r="H400" s="10">
        <v>4.1911764705882355</v>
      </c>
      <c r="I400" s="8" t="s">
        <v>284</v>
      </c>
      <c r="J400" s="8" t="s">
        <v>285</v>
      </c>
      <c r="K400" s="8"/>
      <c r="L400" s="8"/>
      <c r="M400" s="15" t="str">
        <f>HYPERLINK("http://slimages.macys.com/is/image/MCY/17773190 ")</f>
        <v xml:space="preserve">http://slimages.macys.com/is/image/MCY/17773190 </v>
      </c>
      <c r="N400" s="13"/>
    </row>
    <row r="401" spans="1:14" ht="60" x14ac:dyDescent="0.25">
      <c r="A401" s="14" t="s">
        <v>1641</v>
      </c>
      <c r="B401" s="8" t="s">
        <v>1642</v>
      </c>
      <c r="C401" s="9">
        <v>1</v>
      </c>
      <c r="D401" s="10">
        <v>34.99</v>
      </c>
      <c r="E401" s="9" t="s">
        <v>1643</v>
      </c>
      <c r="F401" s="8" t="s">
        <v>1173</v>
      </c>
      <c r="G401" s="14"/>
      <c r="H401" s="10">
        <v>4.1911764705882355</v>
      </c>
      <c r="I401" s="8" t="s">
        <v>284</v>
      </c>
      <c r="J401" s="8" t="s">
        <v>285</v>
      </c>
      <c r="K401" s="8"/>
      <c r="L401" s="8"/>
      <c r="M401" s="15" t="str">
        <f>HYPERLINK("http://slimages.macys.com/is/image/MCY/17773190 ")</f>
        <v xml:space="preserve">http://slimages.macys.com/is/image/MCY/17773190 </v>
      </c>
      <c r="N401" s="13"/>
    </row>
    <row r="402" spans="1:14" ht="60" x14ac:dyDescent="0.25">
      <c r="A402" s="14" t="s">
        <v>281</v>
      </c>
      <c r="B402" s="8" t="s">
        <v>282</v>
      </c>
      <c r="C402" s="9">
        <v>1</v>
      </c>
      <c r="D402" s="10">
        <v>149.99</v>
      </c>
      <c r="E402" s="9" t="s">
        <v>283</v>
      </c>
      <c r="F402" s="8" t="s">
        <v>30</v>
      </c>
      <c r="G402" s="14"/>
      <c r="H402" s="10">
        <v>24.908823529411762</v>
      </c>
      <c r="I402" s="8" t="s">
        <v>284</v>
      </c>
      <c r="J402" s="8" t="s">
        <v>285</v>
      </c>
      <c r="K402" s="8"/>
      <c r="L402" s="8"/>
      <c r="M402" s="15" t="str">
        <f>HYPERLINK("http://slimages.macys.com/is/image/MCY/17773249 ")</f>
        <v xml:space="preserve">http://slimages.macys.com/is/image/MCY/17773249 </v>
      </c>
      <c r="N402" s="13"/>
    </row>
    <row r="403" spans="1:14" ht="60" x14ac:dyDescent="0.25">
      <c r="A403" s="14" t="s">
        <v>1334</v>
      </c>
      <c r="B403" s="8" t="s">
        <v>1335</v>
      </c>
      <c r="C403" s="9">
        <v>1</v>
      </c>
      <c r="D403" s="10">
        <v>44.99</v>
      </c>
      <c r="E403" s="9" t="s">
        <v>1336</v>
      </c>
      <c r="F403" s="8" t="s">
        <v>30</v>
      </c>
      <c r="G403" s="14"/>
      <c r="H403" s="10">
        <v>6.5514705882352935</v>
      </c>
      <c r="I403" s="8" t="s">
        <v>284</v>
      </c>
      <c r="J403" s="8" t="s">
        <v>285</v>
      </c>
      <c r="K403" s="8"/>
      <c r="L403" s="8"/>
      <c r="M403" s="15" t="str">
        <f>HYPERLINK("http://slimages.macys.com/is/image/MCY/17773207 ")</f>
        <v xml:space="preserve">http://slimages.macys.com/is/image/MCY/17773207 </v>
      </c>
      <c r="N403" s="13"/>
    </row>
    <row r="404" spans="1:14" ht="36" x14ac:dyDescent="0.25">
      <c r="A404" s="14" t="s">
        <v>537</v>
      </c>
      <c r="B404" s="8" t="s">
        <v>538</v>
      </c>
      <c r="C404" s="9">
        <v>1</v>
      </c>
      <c r="D404" s="10">
        <v>66.989999999999995</v>
      </c>
      <c r="E404" s="9" t="s">
        <v>539</v>
      </c>
      <c r="F404" s="8" t="s">
        <v>313</v>
      </c>
      <c r="G404" s="14" t="s">
        <v>427</v>
      </c>
      <c r="H404" s="10">
        <v>16.882352941176471</v>
      </c>
      <c r="I404" s="8" t="s">
        <v>47</v>
      </c>
      <c r="J404" s="8" t="s">
        <v>137</v>
      </c>
      <c r="K404" s="8" t="s">
        <v>33</v>
      </c>
      <c r="L404" s="8" t="s">
        <v>200</v>
      </c>
      <c r="M404" s="15" t="str">
        <f>HYPERLINK("http://slimages.macys.com/is/image/MCY/16494296 ")</f>
        <v xml:space="preserve">http://slimages.macys.com/is/image/MCY/16494296 </v>
      </c>
      <c r="N404" s="13"/>
    </row>
    <row r="405" spans="1:14" ht="36" x14ac:dyDescent="0.25">
      <c r="A405" s="14" t="s">
        <v>534</v>
      </c>
      <c r="B405" s="8" t="s">
        <v>535</v>
      </c>
      <c r="C405" s="9">
        <v>1</v>
      </c>
      <c r="D405" s="10">
        <v>66.989999999999995</v>
      </c>
      <c r="E405" s="9" t="s">
        <v>536</v>
      </c>
      <c r="F405" s="8" t="s">
        <v>30</v>
      </c>
      <c r="G405" s="14" t="s">
        <v>427</v>
      </c>
      <c r="H405" s="10">
        <v>16.882352941176471</v>
      </c>
      <c r="I405" s="8" t="s">
        <v>47</v>
      </c>
      <c r="J405" s="8" t="s">
        <v>137</v>
      </c>
      <c r="K405" s="8" t="s">
        <v>33</v>
      </c>
      <c r="L405" s="8" t="s">
        <v>200</v>
      </c>
      <c r="M405" s="15" t="str">
        <f>HYPERLINK("http://slimages.macys.com/is/image/MCY/16494296 ")</f>
        <v xml:space="preserve">http://slimages.macys.com/is/image/MCY/16494296 </v>
      </c>
      <c r="N405" s="13"/>
    </row>
    <row r="406" spans="1:14" ht="60" x14ac:dyDescent="0.25">
      <c r="A406" s="14" t="s">
        <v>1366</v>
      </c>
      <c r="B406" s="8" t="s">
        <v>1367</v>
      </c>
      <c r="C406" s="9">
        <v>1</v>
      </c>
      <c r="D406" s="10">
        <v>34.99</v>
      </c>
      <c r="E406" s="9" t="s">
        <v>1368</v>
      </c>
      <c r="F406" s="8" t="s">
        <v>45</v>
      </c>
      <c r="G406" s="14"/>
      <c r="H406" s="10">
        <v>6.2779411764705877</v>
      </c>
      <c r="I406" s="8" t="s">
        <v>1369</v>
      </c>
      <c r="J406" s="8" t="s">
        <v>1370</v>
      </c>
      <c r="K406" s="8" t="s">
        <v>33</v>
      </c>
      <c r="L406" s="8" t="s">
        <v>214</v>
      </c>
      <c r="M406" s="15" t="str">
        <f>HYPERLINK("http://slimages.macys.com/is/image/MCY/2620611 ")</f>
        <v xml:space="preserve">http://slimages.macys.com/is/image/MCY/2620611 </v>
      </c>
      <c r="N406" s="13"/>
    </row>
    <row r="407" spans="1:14" ht="36" x14ac:dyDescent="0.25">
      <c r="A407" s="14" t="s">
        <v>828</v>
      </c>
      <c r="B407" s="8" t="s">
        <v>829</v>
      </c>
      <c r="C407" s="9">
        <v>2</v>
      </c>
      <c r="D407" s="10">
        <v>49.99</v>
      </c>
      <c r="E407" s="9" t="s">
        <v>830</v>
      </c>
      <c r="F407" s="8" t="s">
        <v>30</v>
      </c>
      <c r="G407" s="14" t="s">
        <v>427</v>
      </c>
      <c r="H407" s="10">
        <v>11.349264705882353</v>
      </c>
      <c r="I407" s="8" t="s">
        <v>47</v>
      </c>
      <c r="J407" s="8" t="s">
        <v>137</v>
      </c>
      <c r="K407" s="8" t="s">
        <v>33</v>
      </c>
      <c r="L407" s="8" t="s">
        <v>200</v>
      </c>
      <c r="M407" s="15" t="str">
        <f>HYPERLINK("http://slimages.macys.com/is/image/MCY/16429812 ")</f>
        <v xml:space="preserve">http://slimages.macys.com/is/image/MCY/16429812 </v>
      </c>
      <c r="N407" s="13"/>
    </row>
    <row r="408" spans="1:14" ht="36" x14ac:dyDescent="0.25">
      <c r="A408" s="14" t="s">
        <v>1054</v>
      </c>
      <c r="B408" s="8" t="s">
        <v>1055</v>
      </c>
      <c r="C408" s="9">
        <v>1</v>
      </c>
      <c r="D408" s="10">
        <v>38.99</v>
      </c>
      <c r="E408" s="9" t="s">
        <v>1056</v>
      </c>
      <c r="F408" s="8" t="s">
        <v>38</v>
      </c>
      <c r="G408" s="14" t="s">
        <v>427</v>
      </c>
      <c r="H408" s="10">
        <v>9.0073529411764692</v>
      </c>
      <c r="I408" s="8" t="s">
        <v>47</v>
      </c>
      <c r="J408" s="8" t="s">
        <v>137</v>
      </c>
      <c r="K408" s="8" t="s">
        <v>33</v>
      </c>
      <c r="L408" s="8" t="s">
        <v>200</v>
      </c>
      <c r="M408" s="15" t="str">
        <f>HYPERLINK("http://slimages.macys.com/is/image/MCY/16494328 ")</f>
        <v xml:space="preserve">http://slimages.macys.com/is/image/MCY/16494328 </v>
      </c>
      <c r="N408" s="13"/>
    </row>
    <row r="409" spans="1:14" ht="36" x14ac:dyDescent="0.25">
      <c r="A409" s="14" t="s">
        <v>423</v>
      </c>
      <c r="B409" s="8" t="s">
        <v>424</v>
      </c>
      <c r="C409" s="9">
        <v>1</v>
      </c>
      <c r="D409" s="10">
        <v>88.99</v>
      </c>
      <c r="E409" s="9" t="s">
        <v>425</v>
      </c>
      <c r="F409" s="8" t="s">
        <v>426</v>
      </c>
      <c r="G409" s="14" t="s">
        <v>427</v>
      </c>
      <c r="H409" s="10">
        <v>20.176470588235293</v>
      </c>
      <c r="I409" s="8" t="s">
        <v>47</v>
      </c>
      <c r="J409" s="8" t="s">
        <v>137</v>
      </c>
      <c r="K409" s="8" t="s">
        <v>33</v>
      </c>
      <c r="L409" s="8" t="s">
        <v>200</v>
      </c>
      <c r="M409" s="15" t="str">
        <f>HYPERLINK("http://slimages.macys.com/is/image/MCY/16494316 ")</f>
        <v xml:space="preserve">http://slimages.macys.com/is/image/MCY/16494316 </v>
      </c>
      <c r="N409" s="13"/>
    </row>
    <row r="410" spans="1:14" ht="36" x14ac:dyDescent="0.25">
      <c r="A410" s="14" t="s">
        <v>428</v>
      </c>
      <c r="B410" s="8" t="s">
        <v>429</v>
      </c>
      <c r="C410" s="9">
        <v>3</v>
      </c>
      <c r="D410" s="10">
        <v>88.99</v>
      </c>
      <c r="E410" s="9" t="s">
        <v>430</v>
      </c>
      <c r="F410" s="8" t="s">
        <v>313</v>
      </c>
      <c r="G410" s="14" t="s">
        <v>427</v>
      </c>
      <c r="H410" s="10">
        <v>20.176470588235293</v>
      </c>
      <c r="I410" s="8" t="s">
        <v>47</v>
      </c>
      <c r="J410" s="8" t="s">
        <v>137</v>
      </c>
      <c r="K410" s="8" t="s">
        <v>33</v>
      </c>
      <c r="L410" s="8" t="s">
        <v>200</v>
      </c>
      <c r="M410" s="15" t="str">
        <f>HYPERLINK("http://slimages.macys.com/is/image/MCY/16494316 ")</f>
        <v xml:space="preserve">http://slimages.macys.com/is/image/MCY/16494316 </v>
      </c>
      <c r="N410" s="13"/>
    </row>
    <row r="411" spans="1:14" ht="36" x14ac:dyDescent="0.25">
      <c r="A411" s="14" t="s">
        <v>610</v>
      </c>
      <c r="B411" s="8" t="s">
        <v>611</v>
      </c>
      <c r="C411" s="9">
        <v>1</v>
      </c>
      <c r="D411" s="10">
        <v>66.989999999999995</v>
      </c>
      <c r="E411" s="9" t="s">
        <v>612</v>
      </c>
      <c r="F411" s="8" t="s">
        <v>123</v>
      </c>
      <c r="G411" s="14" t="s">
        <v>427</v>
      </c>
      <c r="H411" s="10">
        <v>15.132352941176467</v>
      </c>
      <c r="I411" s="8" t="s">
        <v>47</v>
      </c>
      <c r="J411" s="8" t="s">
        <v>137</v>
      </c>
      <c r="K411" s="8" t="s">
        <v>33</v>
      </c>
      <c r="L411" s="8" t="s">
        <v>200</v>
      </c>
      <c r="M411" s="15" t="str">
        <f>HYPERLINK("http://slimages.macys.com/is/image/MCY/16494323 ")</f>
        <v xml:space="preserve">http://slimages.macys.com/is/image/MCY/16494323 </v>
      </c>
      <c r="N411" s="13"/>
    </row>
    <row r="412" spans="1:14" ht="36" x14ac:dyDescent="0.25">
      <c r="A412" s="14" t="s">
        <v>431</v>
      </c>
      <c r="B412" s="8" t="s">
        <v>432</v>
      </c>
      <c r="C412" s="9">
        <v>1</v>
      </c>
      <c r="D412" s="10">
        <v>88.99</v>
      </c>
      <c r="E412" s="9" t="s">
        <v>433</v>
      </c>
      <c r="F412" s="8" t="s">
        <v>300</v>
      </c>
      <c r="G412" s="14" t="s">
        <v>427</v>
      </c>
      <c r="H412" s="10">
        <v>20.176470588235293</v>
      </c>
      <c r="I412" s="8" t="s">
        <v>47</v>
      </c>
      <c r="J412" s="8" t="s">
        <v>137</v>
      </c>
      <c r="K412" s="8" t="s">
        <v>33</v>
      </c>
      <c r="L412" s="8" t="s">
        <v>200</v>
      </c>
      <c r="M412" s="15" t="str">
        <f>HYPERLINK("http://slimages.macys.com/is/image/MCY/15937906 ")</f>
        <v xml:space="preserve">http://slimages.macys.com/is/image/MCY/15937906 </v>
      </c>
      <c r="N412" s="13"/>
    </row>
    <row r="413" spans="1:14" ht="36" x14ac:dyDescent="0.25">
      <c r="A413" s="14" t="s">
        <v>1221</v>
      </c>
      <c r="B413" s="8" t="s">
        <v>1222</v>
      </c>
      <c r="C413" s="9">
        <v>1</v>
      </c>
      <c r="D413" s="10">
        <v>33.99</v>
      </c>
      <c r="E413" s="9" t="s">
        <v>1223</v>
      </c>
      <c r="F413" s="8" t="s">
        <v>1224</v>
      </c>
      <c r="G413" s="14" t="s">
        <v>427</v>
      </c>
      <c r="H413" s="10">
        <v>7.5661764705882337</v>
      </c>
      <c r="I413" s="8" t="s">
        <v>47</v>
      </c>
      <c r="J413" s="8" t="s">
        <v>137</v>
      </c>
      <c r="K413" s="8" t="s">
        <v>33</v>
      </c>
      <c r="L413" s="8" t="s">
        <v>49</v>
      </c>
      <c r="M413" s="15" t="str">
        <f>HYPERLINK("http://slimages.macys.com/is/image/MCY/15937791 ")</f>
        <v xml:space="preserve">http://slimages.macys.com/is/image/MCY/15937791 </v>
      </c>
      <c r="N413" s="13"/>
    </row>
    <row r="414" spans="1:14" ht="60" x14ac:dyDescent="0.25">
      <c r="A414" s="14" t="s">
        <v>420</v>
      </c>
      <c r="B414" s="8" t="s">
        <v>421</v>
      </c>
      <c r="C414" s="9">
        <v>1</v>
      </c>
      <c r="D414" s="10">
        <v>149.99</v>
      </c>
      <c r="E414" s="9" t="s">
        <v>422</v>
      </c>
      <c r="F414" s="8" t="s">
        <v>30</v>
      </c>
      <c r="G414" s="14"/>
      <c r="H414" s="10">
        <v>20.298529411764704</v>
      </c>
      <c r="I414" s="8" t="s">
        <v>284</v>
      </c>
      <c r="J414" s="8" t="s">
        <v>285</v>
      </c>
      <c r="K414" s="8" t="s">
        <v>33</v>
      </c>
      <c r="L414" s="8"/>
      <c r="M414" s="15" t="str">
        <f>HYPERLINK("http://slimages.macys.com/is/image/MCY/16143488 ")</f>
        <v xml:space="preserve">http://slimages.macys.com/is/image/MCY/16143488 </v>
      </c>
      <c r="N414" s="13"/>
    </row>
    <row r="415" spans="1:14" ht="60" x14ac:dyDescent="0.25">
      <c r="A415" s="14" t="s">
        <v>420</v>
      </c>
      <c r="B415" s="8" t="s">
        <v>421</v>
      </c>
      <c r="C415" s="9">
        <v>1</v>
      </c>
      <c r="D415" s="10">
        <v>149.99</v>
      </c>
      <c r="E415" s="9" t="s">
        <v>422</v>
      </c>
      <c r="F415" s="8" t="s">
        <v>30</v>
      </c>
      <c r="G415" s="14"/>
      <c r="H415" s="10">
        <v>20.298529411764704</v>
      </c>
      <c r="I415" s="8" t="s">
        <v>284</v>
      </c>
      <c r="J415" s="8" t="s">
        <v>285</v>
      </c>
      <c r="K415" s="8" t="s">
        <v>33</v>
      </c>
      <c r="L415" s="8"/>
      <c r="M415" s="15" t="str">
        <f>HYPERLINK("http://slimages.macys.com/is/image/MCY/16143488 ")</f>
        <v xml:space="preserve">http://slimages.macys.com/is/image/MCY/16143488 </v>
      </c>
      <c r="N415" s="13"/>
    </row>
    <row r="416" spans="1:14" ht="60" x14ac:dyDescent="0.25">
      <c r="A416" s="14" t="s">
        <v>1504</v>
      </c>
      <c r="B416" s="8" t="s">
        <v>1505</v>
      </c>
      <c r="C416" s="9">
        <v>1</v>
      </c>
      <c r="D416" s="10">
        <v>39.99</v>
      </c>
      <c r="E416" s="9" t="s">
        <v>1506</v>
      </c>
      <c r="F416" s="8" t="s">
        <v>85</v>
      </c>
      <c r="G416" s="14"/>
      <c r="H416" s="10">
        <v>5.1617647058823524</v>
      </c>
      <c r="I416" s="8" t="s">
        <v>284</v>
      </c>
      <c r="J416" s="8" t="s">
        <v>285</v>
      </c>
      <c r="K416" s="8" t="s">
        <v>33</v>
      </c>
      <c r="L416" s="8"/>
      <c r="M416" s="15" t="str">
        <f>HYPERLINK("http://slimages.macys.com/is/image/MCY/11783064 ")</f>
        <v xml:space="preserve">http://slimages.macys.com/is/image/MCY/11783064 </v>
      </c>
      <c r="N416" s="13"/>
    </row>
    <row r="417" spans="1:14" ht="60" x14ac:dyDescent="0.25">
      <c r="A417" s="14" t="s">
        <v>1504</v>
      </c>
      <c r="B417" s="8" t="s">
        <v>1505</v>
      </c>
      <c r="C417" s="9">
        <v>2</v>
      </c>
      <c r="D417" s="10">
        <v>39.99</v>
      </c>
      <c r="E417" s="9" t="s">
        <v>1506</v>
      </c>
      <c r="F417" s="8" t="s">
        <v>85</v>
      </c>
      <c r="G417" s="14"/>
      <c r="H417" s="10">
        <v>5.1617647058823524</v>
      </c>
      <c r="I417" s="8" t="s">
        <v>284</v>
      </c>
      <c r="J417" s="8" t="s">
        <v>285</v>
      </c>
      <c r="K417" s="8" t="s">
        <v>33</v>
      </c>
      <c r="L417" s="8"/>
      <c r="M417" s="15" t="str">
        <f>HYPERLINK("http://slimages.macys.com/is/image/MCY/11783064 ")</f>
        <v xml:space="preserve">http://slimages.macys.com/is/image/MCY/11783064 </v>
      </c>
      <c r="N417" s="13"/>
    </row>
    <row r="418" spans="1:14" ht="48" x14ac:dyDescent="0.25">
      <c r="A418" s="14" t="s">
        <v>1290</v>
      </c>
      <c r="B418" s="8" t="s">
        <v>1291</v>
      </c>
      <c r="C418" s="9">
        <v>1</v>
      </c>
      <c r="D418" s="10">
        <v>39.99</v>
      </c>
      <c r="E418" s="9" t="s">
        <v>1292</v>
      </c>
      <c r="F418" s="8" t="s">
        <v>388</v>
      </c>
      <c r="G418" s="14"/>
      <c r="H418" s="10">
        <v>6.9647058823529404</v>
      </c>
      <c r="I418" s="8" t="s">
        <v>1293</v>
      </c>
      <c r="J418" s="8" t="s">
        <v>1294</v>
      </c>
      <c r="K418" s="8" t="s">
        <v>33</v>
      </c>
      <c r="L418" s="8" t="s">
        <v>1295</v>
      </c>
      <c r="M418" s="15" t="str">
        <f>HYPERLINK("http://slimages.macys.com/is/image/MCY/8151499 ")</f>
        <v xml:space="preserve">http://slimages.macys.com/is/image/MCY/8151499 </v>
      </c>
      <c r="N418" s="13"/>
    </row>
    <row r="419" spans="1:14" ht="60" x14ac:dyDescent="0.25">
      <c r="A419" s="14" t="s">
        <v>1619</v>
      </c>
      <c r="B419" s="8" t="s">
        <v>1620</v>
      </c>
      <c r="C419" s="9">
        <v>1</v>
      </c>
      <c r="D419" s="10">
        <v>29.99</v>
      </c>
      <c r="E419" s="9" t="s">
        <v>1621</v>
      </c>
      <c r="F419" s="8" t="s">
        <v>469</v>
      </c>
      <c r="G419" s="14"/>
      <c r="H419" s="10">
        <v>4.3147058823529409</v>
      </c>
      <c r="I419" s="8" t="s">
        <v>284</v>
      </c>
      <c r="J419" s="8" t="s">
        <v>285</v>
      </c>
      <c r="K419" s="8" t="s">
        <v>566</v>
      </c>
      <c r="L419" s="8" t="s">
        <v>214</v>
      </c>
      <c r="M419" s="15" t="str">
        <f>HYPERLINK("http://slimages.macys.com/is/image/MCY/11320819 ")</f>
        <v xml:space="preserve">http://slimages.macys.com/is/image/MCY/11320819 </v>
      </c>
      <c r="N419" s="13"/>
    </row>
    <row r="420" spans="1:14" ht="96" x14ac:dyDescent="0.25">
      <c r="A420" s="14" t="s">
        <v>904</v>
      </c>
      <c r="B420" s="8" t="s">
        <v>905</v>
      </c>
      <c r="C420" s="9">
        <v>1</v>
      </c>
      <c r="D420" s="10">
        <v>59.99</v>
      </c>
      <c r="E420" s="9" t="s">
        <v>906</v>
      </c>
      <c r="F420" s="8"/>
      <c r="G420" s="14"/>
      <c r="H420" s="10">
        <v>10.420588235294117</v>
      </c>
      <c r="I420" s="8" t="s">
        <v>31</v>
      </c>
      <c r="J420" s="8" t="s">
        <v>32</v>
      </c>
      <c r="K420" s="8" t="s">
        <v>33</v>
      </c>
      <c r="L420" s="8" t="s">
        <v>907</v>
      </c>
      <c r="M420" s="15" t="str">
        <f>HYPERLINK("http://slimages.macys.com/is/image/MCY/9505256 ")</f>
        <v xml:space="preserve">http://slimages.macys.com/is/image/MCY/9505256 </v>
      </c>
      <c r="N420" s="13"/>
    </row>
    <row r="421" spans="1:14" ht="36" x14ac:dyDescent="0.25">
      <c r="A421" s="14" t="s">
        <v>506</v>
      </c>
      <c r="B421" s="8" t="s">
        <v>507</v>
      </c>
      <c r="C421" s="9">
        <v>1</v>
      </c>
      <c r="D421" s="10">
        <v>117.99</v>
      </c>
      <c r="E421" s="9" t="s">
        <v>508</v>
      </c>
      <c r="F421" s="8" t="s">
        <v>300</v>
      </c>
      <c r="G421" s="14"/>
      <c r="H421" s="10">
        <v>17.647058823529409</v>
      </c>
      <c r="I421" s="8" t="s">
        <v>31</v>
      </c>
      <c r="J421" s="8" t="s">
        <v>509</v>
      </c>
      <c r="K421" s="8" t="s">
        <v>33</v>
      </c>
      <c r="L421" s="8" t="s">
        <v>200</v>
      </c>
      <c r="M421" s="15" t="str">
        <f>HYPERLINK("http://slimages.macys.com/is/image/MCY/12070038 ")</f>
        <v xml:space="preserve">http://slimages.macys.com/is/image/MCY/12070038 </v>
      </c>
      <c r="N421" s="13"/>
    </row>
    <row r="422" spans="1:14" ht="60" x14ac:dyDescent="0.25">
      <c r="A422" s="14" t="s">
        <v>1858</v>
      </c>
      <c r="B422" s="8" t="s">
        <v>1859</v>
      </c>
      <c r="C422" s="9">
        <v>3</v>
      </c>
      <c r="D422" s="10">
        <v>9.99</v>
      </c>
      <c r="E422" s="9" t="s">
        <v>1860</v>
      </c>
      <c r="F422" s="8" t="s">
        <v>148</v>
      </c>
      <c r="G422" s="14"/>
      <c r="H422" s="10">
        <v>2.1566176470588232</v>
      </c>
      <c r="I422" s="8" t="s">
        <v>47</v>
      </c>
      <c r="J422" s="8" t="s">
        <v>1131</v>
      </c>
      <c r="K422" s="8" t="s">
        <v>33</v>
      </c>
      <c r="L422" s="8" t="s">
        <v>200</v>
      </c>
      <c r="M422" s="15" t="str">
        <f>HYPERLINK("http://slimages.macys.com/is/image/MCY/2075013 ")</f>
        <v xml:space="preserve">http://slimages.macys.com/is/image/MCY/2075013 </v>
      </c>
      <c r="N422" s="13"/>
    </row>
    <row r="423" spans="1:14" ht="60" x14ac:dyDescent="0.25">
      <c r="A423" s="14" t="s">
        <v>1818</v>
      </c>
      <c r="B423" s="8" t="s">
        <v>1819</v>
      </c>
      <c r="C423" s="9">
        <v>4</v>
      </c>
      <c r="D423" s="10">
        <v>11.99</v>
      </c>
      <c r="E423" s="9" t="s">
        <v>1820</v>
      </c>
      <c r="F423" s="8" t="s">
        <v>85</v>
      </c>
      <c r="G423" s="14" t="s">
        <v>1821</v>
      </c>
      <c r="H423" s="10">
        <v>2.5117647058823529</v>
      </c>
      <c r="I423" s="8" t="s">
        <v>47</v>
      </c>
      <c r="J423" s="8" t="s">
        <v>1131</v>
      </c>
      <c r="K423" s="8" t="s">
        <v>33</v>
      </c>
      <c r="L423" s="8" t="s">
        <v>200</v>
      </c>
      <c r="M423" s="15" t="str">
        <f>HYPERLINK("http://slimages.macys.com/is/image/MCY/2075013 ")</f>
        <v xml:space="preserve">http://slimages.macys.com/is/image/MCY/2075013 </v>
      </c>
      <c r="N423" s="13"/>
    </row>
    <row r="424" spans="1:14" ht="60" x14ac:dyDescent="0.25">
      <c r="A424" s="14" t="s">
        <v>1670</v>
      </c>
      <c r="B424" s="8" t="s">
        <v>1671</v>
      </c>
      <c r="C424" s="9">
        <v>1</v>
      </c>
      <c r="D424" s="10">
        <v>18.989999999999998</v>
      </c>
      <c r="E424" s="9">
        <v>703444</v>
      </c>
      <c r="F424" s="8" t="s">
        <v>45</v>
      </c>
      <c r="G424" s="14"/>
      <c r="H424" s="10">
        <v>3.9477941176470583</v>
      </c>
      <c r="I424" s="8" t="s">
        <v>47</v>
      </c>
      <c r="J424" s="8" t="s">
        <v>1131</v>
      </c>
      <c r="K424" s="8" t="s">
        <v>33</v>
      </c>
      <c r="L424" s="8" t="s">
        <v>200</v>
      </c>
      <c r="M424" s="15" t="str">
        <f>HYPERLINK("http://slimages.macys.com/is/image/MCY/821775 ")</f>
        <v xml:space="preserve">http://slimages.macys.com/is/image/MCY/821775 </v>
      </c>
      <c r="N424" s="13"/>
    </row>
    <row r="425" spans="1:14" ht="60" x14ac:dyDescent="0.25">
      <c r="A425" s="14" t="s">
        <v>1672</v>
      </c>
      <c r="B425" s="8" t="s">
        <v>1673</v>
      </c>
      <c r="C425" s="9">
        <v>4</v>
      </c>
      <c r="D425" s="10">
        <v>19.989999999999998</v>
      </c>
      <c r="E425" s="9">
        <v>703444</v>
      </c>
      <c r="F425" s="8" t="s">
        <v>217</v>
      </c>
      <c r="G425" s="14"/>
      <c r="H425" s="10">
        <v>3.9477941176470583</v>
      </c>
      <c r="I425" s="8" t="s">
        <v>47</v>
      </c>
      <c r="J425" s="8" t="s">
        <v>1131</v>
      </c>
      <c r="K425" s="8" t="s">
        <v>33</v>
      </c>
      <c r="L425" s="8" t="s">
        <v>200</v>
      </c>
      <c r="M425" s="15" t="str">
        <f>HYPERLINK("http://slimages.macys.com/is/image/MCY/821775 ")</f>
        <v xml:space="preserve">http://slimages.macys.com/is/image/MCY/821775 </v>
      </c>
      <c r="N425" s="13"/>
    </row>
    <row r="426" spans="1:14" ht="60" x14ac:dyDescent="0.25">
      <c r="A426" s="14" t="s">
        <v>1815</v>
      </c>
      <c r="B426" s="8" t="s">
        <v>1816</v>
      </c>
      <c r="C426" s="9">
        <v>2</v>
      </c>
      <c r="D426" s="10">
        <v>13.99</v>
      </c>
      <c r="E426" s="9" t="s">
        <v>1817</v>
      </c>
      <c r="F426" s="8" t="s">
        <v>85</v>
      </c>
      <c r="G426" s="14"/>
      <c r="H426" s="10">
        <v>2.6352941176470588</v>
      </c>
      <c r="I426" s="8" t="s">
        <v>47</v>
      </c>
      <c r="J426" s="8" t="s">
        <v>1131</v>
      </c>
      <c r="K426" s="8" t="s">
        <v>33</v>
      </c>
      <c r="L426" s="8" t="s">
        <v>200</v>
      </c>
      <c r="M426" s="15" t="str">
        <f>HYPERLINK("http://slimages.macys.com/is/image/MCY/3135982 ")</f>
        <v xml:space="preserve">http://slimages.macys.com/is/image/MCY/3135982 </v>
      </c>
      <c r="N426" s="13"/>
    </row>
    <row r="427" spans="1:14" ht="60" x14ac:dyDescent="0.25">
      <c r="A427" s="14" t="s">
        <v>1822</v>
      </c>
      <c r="B427" s="8" t="s">
        <v>1823</v>
      </c>
      <c r="C427" s="9">
        <v>1</v>
      </c>
      <c r="D427" s="10">
        <v>11.99</v>
      </c>
      <c r="E427" s="9" t="s">
        <v>1824</v>
      </c>
      <c r="F427" s="8" t="s">
        <v>426</v>
      </c>
      <c r="G427" s="14"/>
      <c r="H427" s="10">
        <v>2.5117647058823529</v>
      </c>
      <c r="I427" s="8" t="s">
        <v>47</v>
      </c>
      <c r="J427" s="8" t="s">
        <v>1131</v>
      </c>
      <c r="K427" s="8" t="s">
        <v>33</v>
      </c>
      <c r="L427" s="8" t="s">
        <v>200</v>
      </c>
      <c r="M427" s="15" t="str">
        <f t="shared" ref="M427:M433" si="2">HYPERLINK("http://slimages.macys.com/is/image/MCY/935272 ")</f>
        <v xml:space="preserve">http://slimages.macys.com/is/image/MCY/935272 </v>
      </c>
      <c r="N427" s="13"/>
    </row>
    <row r="428" spans="1:14" ht="60" x14ac:dyDescent="0.25">
      <c r="A428" s="14" t="s">
        <v>1822</v>
      </c>
      <c r="B428" s="8" t="s">
        <v>1823</v>
      </c>
      <c r="C428" s="9">
        <v>2</v>
      </c>
      <c r="D428" s="10">
        <v>11.99</v>
      </c>
      <c r="E428" s="9" t="s">
        <v>1824</v>
      </c>
      <c r="F428" s="8" t="s">
        <v>426</v>
      </c>
      <c r="G428" s="14"/>
      <c r="H428" s="10">
        <v>2.5117647058823529</v>
      </c>
      <c r="I428" s="8" t="s">
        <v>47</v>
      </c>
      <c r="J428" s="8" t="s">
        <v>1131</v>
      </c>
      <c r="K428" s="8" t="s">
        <v>33</v>
      </c>
      <c r="L428" s="8" t="s">
        <v>200</v>
      </c>
      <c r="M428" s="15" t="str">
        <f t="shared" si="2"/>
        <v xml:space="preserve">http://slimages.macys.com/is/image/MCY/935272 </v>
      </c>
      <c r="N428" s="13"/>
    </row>
    <row r="429" spans="1:14" ht="60" x14ac:dyDescent="0.25">
      <c r="A429" s="14" t="s">
        <v>1825</v>
      </c>
      <c r="B429" s="8" t="s">
        <v>1826</v>
      </c>
      <c r="C429" s="9">
        <v>1</v>
      </c>
      <c r="D429" s="10">
        <v>11.99</v>
      </c>
      <c r="E429" s="9" t="s">
        <v>1827</v>
      </c>
      <c r="F429" s="8" t="s">
        <v>65</v>
      </c>
      <c r="G429" s="14"/>
      <c r="H429" s="10">
        <v>2.5117647058823529</v>
      </c>
      <c r="I429" s="8" t="s">
        <v>47</v>
      </c>
      <c r="J429" s="8" t="s">
        <v>1131</v>
      </c>
      <c r="K429" s="8" t="s">
        <v>33</v>
      </c>
      <c r="L429" s="8" t="s">
        <v>200</v>
      </c>
      <c r="M429" s="15" t="str">
        <f t="shared" si="2"/>
        <v xml:space="preserve">http://slimages.macys.com/is/image/MCY/935272 </v>
      </c>
      <c r="N429" s="13"/>
    </row>
    <row r="430" spans="1:14" ht="60" x14ac:dyDescent="0.25">
      <c r="A430" s="14" t="s">
        <v>1738</v>
      </c>
      <c r="B430" s="8" t="s">
        <v>1739</v>
      </c>
      <c r="C430" s="9">
        <v>3</v>
      </c>
      <c r="D430" s="10">
        <v>17.989999999999998</v>
      </c>
      <c r="E430" s="9" t="s">
        <v>1740</v>
      </c>
      <c r="F430" s="8" t="s">
        <v>148</v>
      </c>
      <c r="G430" s="14"/>
      <c r="H430" s="10">
        <v>3.278676470588235</v>
      </c>
      <c r="I430" s="8" t="s">
        <v>47</v>
      </c>
      <c r="J430" s="8" t="s">
        <v>1131</v>
      </c>
      <c r="K430" s="8" t="s">
        <v>33</v>
      </c>
      <c r="L430" s="8" t="s">
        <v>200</v>
      </c>
      <c r="M430" s="15" t="str">
        <f t="shared" si="2"/>
        <v xml:space="preserve">http://slimages.macys.com/is/image/MCY/935272 </v>
      </c>
      <c r="N430" s="13"/>
    </row>
    <row r="431" spans="1:14" ht="60" x14ac:dyDescent="0.25">
      <c r="A431" s="14" t="s">
        <v>1855</v>
      </c>
      <c r="B431" s="8" t="s">
        <v>1856</v>
      </c>
      <c r="C431" s="9">
        <v>1</v>
      </c>
      <c r="D431" s="10">
        <v>12.99</v>
      </c>
      <c r="E431" s="9" t="s">
        <v>1857</v>
      </c>
      <c r="F431" s="8"/>
      <c r="G431" s="14"/>
      <c r="H431" s="10">
        <v>2.2955882352941175</v>
      </c>
      <c r="I431" s="8" t="s">
        <v>47</v>
      </c>
      <c r="J431" s="8" t="s">
        <v>1131</v>
      </c>
      <c r="K431" s="8" t="s">
        <v>33</v>
      </c>
      <c r="L431" s="8" t="s">
        <v>200</v>
      </c>
      <c r="M431" s="15" t="str">
        <f t="shared" si="2"/>
        <v xml:space="preserve">http://slimages.macys.com/is/image/MCY/935272 </v>
      </c>
      <c r="N431" s="13"/>
    </row>
    <row r="432" spans="1:14" ht="60" x14ac:dyDescent="0.25">
      <c r="A432" s="14" t="s">
        <v>1784</v>
      </c>
      <c r="B432" s="8" t="s">
        <v>1785</v>
      </c>
      <c r="C432" s="9">
        <v>1</v>
      </c>
      <c r="D432" s="10">
        <v>13.99</v>
      </c>
      <c r="E432" s="9" t="s">
        <v>1786</v>
      </c>
      <c r="F432" s="8" t="s">
        <v>114</v>
      </c>
      <c r="G432" s="14"/>
      <c r="H432" s="10">
        <v>2.9183823529411761</v>
      </c>
      <c r="I432" s="8" t="s">
        <v>47</v>
      </c>
      <c r="J432" s="8" t="s">
        <v>1131</v>
      </c>
      <c r="K432" s="8" t="s">
        <v>33</v>
      </c>
      <c r="L432" s="8" t="s">
        <v>200</v>
      </c>
      <c r="M432" s="15" t="str">
        <f t="shared" si="2"/>
        <v xml:space="preserve">http://slimages.macys.com/is/image/MCY/935272 </v>
      </c>
      <c r="N432" s="13"/>
    </row>
    <row r="433" spans="1:14" ht="60" x14ac:dyDescent="0.25">
      <c r="A433" s="14" t="s">
        <v>1828</v>
      </c>
      <c r="B433" s="8" t="s">
        <v>1829</v>
      </c>
      <c r="C433" s="9">
        <v>2</v>
      </c>
      <c r="D433" s="10">
        <v>11.99</v>
      </c>
      <c r="E433" s="9" t="s">
        <v>1830</v>
      </c>
      <c r="F433" s="8" t="s">
        <v>30</v>
      </c>
      <c r="G433" s="14"/>
      <c r="H433" s="10">
        <v>2.5117647058823529</v>
      </c>
      <c r="I433" s="8" t="s">
        <v>47</v>
      </c>
      <c r="J433" s="8" t="s">
        <v>1131</v>
      </c>
      <c r="K433" s="8" t="s">
        <v>33</v>
      </c>
      <c r="L433" s="8" t="s">
        <v>200</v>
      </c>
      <c r="M433" s="15" t="str">
        <f t="shared" si="2"/>
        <v xml:space="preserve">http://slimages.macys.com/is/image/MCY/935272 </v>
      </c>
      <c r="N433" s="13"/>
    </row>
    <row r="434" spans="1:14" ht="60" x14ac:dyDescent="0.25">
      <c r="A434" s="14" t="s">
        <v>1128</v>
      </c>
      <c r="B434" s="8" t="s">
        <v>1129</v>
      </c>
      <c r="C434" s="9">
        <v>4</v>
      </c>
      <c r="D434" s="10">
        <v>38.99</v>
      </c>
      <c r="E434" s="9" t="s">
        <v>1130</v>
      </c>
      <c r="F434" s="8" t="s">
        <v>85</v>
      </c>
      <c r="G434" s="14"/>
      <c r="H434" s="10">
        <v>8.3794117647058819</v>
      </c>
      <c r="I434" s="8" t="s">
        <v>47</v>
      </c>
      <c r="J434" s="8" t="s">
        <v>1131</v>
      </c>
      <c r="K434" s="8" t="s">
        <v>33</v>
      </c>
      <c r="L434" s="8" t="s">
        <v>200</v>
      </c>
      <c r="M434" s="15" t="str">
        <f>HYPERLINK("http://slimages.macys.com/is/image/MCY/10964921 ")</f>
        <v xml:space="preserve">http://slimages.macys.com/is/image/MCY/10964921 </v>
      </c>
      <c r="N434" s="13"/>
    </row>
    <row r="435" spans="1:14" ht="36" x14ac:dyDescent="0.25">
      <c r="A435" s="14" t="s">
        <v>967</v>
      </c>
      <c r="B435" s="8" t="s">
        <v>968</v>
      </c>
      <c r="C435" s="9">
        <v>1</v>
      </c>
      <c r="D435" s="10">
        <v>46.99</v>
      </c>
      <c r="E435" s="9" t="s">
        <v>969</v>
      </c>
      <c r="F435" s="8" t="s">
        <v>970</v>
      </c>
      <c r="G435" s="14" t="s">
        <v>46</v>
      </c>
      <c r="H435" s="10">
        <v>9.6867647058823518</v>
      </c>
      <c r="I435" s="8" t="s">
        <v>47</v>
      </c>
      <c r="J435" s="8" t="s">
        <v>971</v>
      </c>
      <c r="K435" s="8" t="s">
        <v>33</v>
      </c>
      <c r="L435" s="8" t="s">
        <v>49</v>
      </c>
      <c r="M435" s="15" t="str">
        <f>HYPERLINK("http://slimages.macys.com/is/image/MCY/11829913 ")</f>
        <v xml:space="preserve">http://slimages.macys.com/is/image/MCY/11829913 </v>
      </c>
      <c r="N435" s="13"/>
    </row>
    <row r="436" spans="1:14" ht="36" x14ac:dyDescent="0.25">
      <c r="A436" s="14" t="s">
        <v>1758</v>
      </c>
      <c r="B436" s="8" t="s">
        <v>1759</v>
      </c>
      <c r="C436" s="9">
        <v>1</v>
      </c>
      <c r="D436" s="10">
        <v>14.99</v>
      </c>
      <c r="E436" s="9" t="s">
        <v>1760</v>
      </c>
      <c r="F436" s="8" t="s">
        <v>1005</v>
      </c>
      <c r="G436" s="14" t="s">
        <v>450</v>
      </c>
      <c r="H436" s="10">
        <v>3.1705882352941175</v>
      </c>
      <c r="I436" s="8" t="s">
        <v>47</v>
      </c>
      <c r="J436" s="8" t="s">
        <v>1127</v>
      </c>
      <c r="K436" s="8"/>
      <c r="L436" s="8"/>
      <c r="M436" s="15" t="str">
        <f>HYPERLINK("http://slimages.macys.com/is/image/MCY/17620635 ")</f>
        <v xml:space="preserve">http://slimages.macys.com/is/image/MCY/17620635 </v>
      </c>
      <c r="N436" s="13"/>
    </row>
    <row r="437" spans="1:14" ht="36" x14ac:dyDescent="0.25">
      <c r="A437" s="14" t="s">
        <v>1755</v>
      </c>
      <c r="B437" s="8" t="s">
        <v>1756</v>
      </c>
      <c r="C437" s="9">
        <v>2</v>
      </c>
      <c r="D437" s="10">
        <v>14.99</v>
      </c>
      <c r="E437" s="9" t="s">
        <v>1757</v>
      </c>
      <c r="F437" s="8" t="s">
        <v>1005</v>
      </c>
      <c r="G437" s="14" t="s">
        <v>450</v>
      </c>
      <c r="H437" s="10">
        <v>3.1705882352941175</v>
      </c>
      <c r="I437" s="8" t="s">
        <v>47</v>
      </c>
      <c r="J437" s="8" t="s">
        <v>1127</v>
      </c>
      <c r="K437" s="8"/>
      <c r="L437" s="8"/>
      <c r="M437" s="15" t="str">
        <f>HYPERLINK("http://slimages.macys.com/is/image/MCY/17620637 ")</f>
        <v xml:space="preserve">http://slimages.macys.com/is/image/MCY/17620637 </v>
      </c>
      <c r="N437" s="13"/>
    </row>
    <row r="438" spans="1:14" ht="36" x14ac:dyDescent="0.25">
      <c r="A438" s="14" t="s">
        <v>1124</v>
      </c>
      <c r="B438" s="8" t="s">
        <v>1125</v>
      </c>
      <c r="C438" s="9">
        <v>1</v>
      </c>
      <c r="D438" s="10">
        <v>37.99</v>
      </c>
      <c r="E438" s="9" t="s">
        <v>1126</v>
      </c>
      <c r="F438" s="8"/>
      <c r="G438" s="14"/>
      <c r="H438" s="10">
        <v>8.382352941176471</v>
      </c>
      <c r="I438" s="8" t="s">
        <v>31</v>
      </c>
      <c r="J438" s="8" t="s">
        <v>1127</v>
      </c>
      <c r="K438" s="8"/>
      <c r="L438" s="8"/>
      <c r="M438" s="15" t="str">
        <f>HYPERLINK("http://slimages.macys.com/is/image/MCY/16685057 ")</f>
        <v xml:space="preserve">http://slimages.macys.com/is/image/MCY/16685057 </v>
      </c>
      <c r="N438" s="13"/>
    </row>
    <row r="439" spans="1:14" ht="36" x14ac:dyDescent="0.25">
      <c r="A439" s="14" t="s">
        <v>1328</v>
      </c>
      <c r="B439" s="8" t="s">
        <v>1329</v>
      </c>
      <c r="C439" s="9">
        <v>1</v>
      </c>
      <c r="D439" s="10">
        <v>29.99</v>
      </c>
      <c r="E439" s="9" t="s">
        <v>1330</v>
      </c>
      <c r="F439" s="8"/>
      <c r="G439" s="14"/>
      <c r="H439" s="10">
        <v>6.617647058823529</v>
      </c>
      <c r="I439" s="8" t="s">
        <v>31</v>
      </c>
      <c r="J439" s="8" t="s">
        <v>1127</v>
      </c>
      <c r="K439" s="8"/>
      <c r="L439" s="8"/>
      <c r="M439" s="15" t="str">
        <f>HYPERLINK("http://slimages.macys.com/is/image/MCY/16685052 ")</f>
        <v xml:space="preserve">http://slimages.macys.com/is/image/MCY/16685052 </v>
      </c>
      <c r="N439" s="13"/>
    </row>
    <row r="440" spans="1:14" ht="36" x14ac:dyDescent="0.25">
      <c r="A440" s="14" t="s">
        <v>1752</v>
      </c>
      <c r="B440" s="8" t="s">
        <v>1753</v>
      </c>
      <c r="C440" s="9">
        <v>3</v>
      </c>
      <c r="D440" s="10">
        <v>14.99</v>
      </c>
      <c r="E440" s="9" t="s">
        <v>1754</v>
      </c>
      <c r="F440" s="8" t="s">
        <v>65</v>
      </c>
      <c r="G440" s="14" t="s">
        <v>450</v>
      </c>
      <c r="H440" s="10">
        <v>3.1705882352941175</v>
      </c>
      <c r="I440" s="8" t="s">
        <v>47</v>
      </c>
      <c r="J440" s="8" t="s">
        <v>1127</v>
      </c>
      <c r="K440" s="8"/>
      <c r="L440" s="8"/>
      <c r="M440" s="15" t="str">
        <f>HYPERLINK("http://slimages.macys.com/is/image/MCY/17620635 ")</f>
        <v xml:space="preserve">http://slimages.macys.com/is/image/MCY/17620635 </v>
      </c>
      <c r="N440" s="13"/>
    </row>
    <row r="441" spans="1:14" ht="36" x14ac:dyDescent="0.25">
      <c r="A441" s="14" t="s">
        <v>1752</v>
      </c>
      <c r="B441" s="8" t="s">
        <v>1753</v>
      </c>
      <c r="C441" s="9">
        <v>2</v>
      </c>
      <c r="D441" s="10">
        <v>14.99</v>
      </c>
      <c r="E441" s="9" t="s">
        <v>1754</v>
      </c>
      <c r="F441" s="8" t="s">
        <v>65</v>
      </c>
      <c r="G441" s="14" t="s">
        <v>450</v>
      </c>
      <c r="H441" s="10">
        <v>3.1705882352941175</v>
      </c>
      <c r="I441" s="8" t="s">
        <v>47</v>
      </c>
      <c r="J441" s="8" t="s">
        <v>1127</v>
      </c>
      <c r="K441" s="8"/>
      <c r="L441" s="8"/>
      <c r="M441" s="15" t="str">
        <f>HYPERLINK("http://slimages.macys.com/is/image/MCY/17620635 ")</f>
        <v xml:space="preserve">http://slimages.macys.com/is/image/MCY/17620635 </v>
      </c>
      <c r="N441" s="13"/>
    </row>
    <row r="442" spans="1:14" ht="36" x14ac:dyDescent="0.25">
      <c r="A442" s="14" t="s">
        <v>1752</v>
      </c>
      <c r="B442" s="8" t="s">
        <v>1753</v>
      </c>
      <c r="C442" s="9">
        <v>6</v>
      </c>
      <c r="D442" s="10">
        <v>14.99</v>
      </c>
      <c r="E442" s="9" t="s">
        <v>1754</v>
      </c>
      <c r="F442" s="8" t="s">
        <v>65</v>
      </c>
      <c r="G442" s="14" t="s">
        <v>450</v>
      </c>
      <c r="H442" s="10">
        <v>3.1705882352941175</v>
      </c>
      <c r="I442" s="8" t="s">
        <v>47</v>
      </c>
      <c r="J442" s="8" t="s">
        <v>1127</v>
      </c>
      <c r="K442" s="8"/>
      <c r="L442" s="8"/>
      <c r="M442" s="15" t="str">
        <f>HYPERLINK("http://slimages.macys.com/is/image/MCY/17620635 ")</f>
        <v xml:space="preserve">http://slimages.macys.com/is/image/MCY/17620635 </v>
      </c>
      <c r="N442" s="13"/>
    </row>
    <row r="443" spans="1:14" ht="36" x14ac:dyDescent="0.25">
      <c r="A443" s="14" t="s">
        <v>1796</v>
      </c>
      <c r="B443" s="8" t="s">
        <v>1797</v>
      </c>
      <c r="C443" s="9">
        <v>3</v>
      </c>
      <c r="D443" s="10">
        <v>14.99</v>
      </c>
      <c r="E443" s="9" t="s">
        <v>1798</v>
      </c>
      <c r="F443" s="8" t="s">
        <v>426</v>
      </c>
      <c r="G443" s="14" t="s">
        <v>450</v>
      </c>
      <c r="H443" s="10">
        <v>2.8308823529411762</v>
      </c>
      <c r="I443" s="8" t="s">
        <v>47</v>
      </c>
      <c r="J443" s="8" t="s">
        <v>1127</v>
      </c>
      <c r="K443" s="8"/>
      <c r="L443" s="8"/>
      <c r="M443" s="15" t="str">
        <f t="shared" ref="M443:M450" si="3">HYPERLINK("http://slimages.macys.com/is/image/MCY/18158644 ")</f>
        <v xml:space="preserve">http://slimages.macys.com/is/image/MCY/18158644 </v>
      </c>
      <c r="N443" s="13"/>
    </row>
    <row r="444" spans="1:14" ht="36" x14ac:dyDescent="0.25">
      <c r="A444" s="14" t="s">
        <v>1796</v>
      </c>
      <c r="B444" s="8" t="s">
        <v>1797</v>
      </c>
      <c r="C444" s="9">
        <v>4</v>
      </c>
      <c r="D444" s="10">
        <v>14.99</v>
      </c>
      <c r="E444" s="9" t="s">
        <v>1798</v>
      </c>
      <c r="F444" s="8" t="s">
        <v>426</v>
      </c>
      <c r="G444" s="14" t="s">
        <v>450</v>
      </c>
      <c r="H444" s="10">
        <v>2.8308823529411762</v>
      </c>
      <c r="I444" s="8" t="s">
        <v>47</v>
      </c>
      <c r="J444" s="8" t="s">
        <v>1127</v>
      </c>
      <c r="K444" s="8"/>
      <c r="L444" s="8"/>
      <c r="M444" s="15" t="str">
        <f t="shared" si="3"/>
        <v xml:space="preserve">http://slimages.macys.com/is/image/MCY/18158644 </v>
      </c>
      <c r="N444" s="13"/>
    </row>
    <row r="445" spans="1:14" ht="36" x14ac:dyDescent="0.25">
      <c r="A445" s="14" t="s">
        <v>1796</v>
      </c>
      <c r="B445" s="8" t="s">
        <v>1797</v>
      </c>
      <c r="C445" s="9">
        <v>6</v>
      </c>
      <c r="D445" s="10">
        <v>14.99</v>
      </c>
      <c r="E445" s="9" t="s">
        <v>1798</v>
      </c>
      <c r="F445" s="8" t="s">
        <v>426</v>
      </c>
      <c r="G445" s="14" t="s">
        <v>450</v>
      </c>
      <c r="H445" s="10">
        <v>2.8308823529411762</v>
      </c>
      <c r="I445" s="8" t="s">
        <v>47</v>
      </c>
      <c r="J445" s="8" t="s">
        <v>1127</v>
      </c>
      <c r="K445" s="8"/>
      <c r="L445" s="8"/>
      <c r="M445" s="15" t="str">
        <f t="shared" si="3"/>
        <v xml:space="preserve">http://slimages.macys.com/is/image/MCY/18158644 </v>
      </c>
      <c r="N445" s="13"/>
    </row>
    <row r="446" spans="1:14" ht="36" x14ac:dyDescent="0.25">
      <c r="A446" s="14" t="s">
        <v>1799</v>
      </c>
      <c r="B446" s="8" t="s">
        <v>1800</v>
      </c>
      <c r="C446" s="9">
        <v>7</v>
      </c>
      <c r="D446" s="10">
        <v>14.99</v>
      </c>
      <c r="E446" s="9" t="s">
        <v>1801</v>
      </c>
      <c r="F446" s="8" t="s">
        <v>469</v>
      </c>
      <c r="G446" s="14" t="s">
        <v>450</v>
      </c>
      <c r="H446" s="10">
        <v>2.8308823529411762</v>
      </c>
      <c r="I446" s="8" t="s">
        <v>47</v>
      </c>
      <c r="J446" s="8" t="s">
        <v>1127</v>
      </c>
      <c r="K446" s="8"/>
      <c r="L446" s="8"/>
      <c r="M446" s="15" t="str">
        <f t="shared" si="3"/>
        <v xml:space="preserve">http://slimages.macys.com/is/image/MCY/18158644 </v>
      </c>
      <c r="N446" s="13"/>
    </row>
    <row r="447" spans="1:14" ht="36" x14ac:dyDescent="0.25">
      <c r="A447" s="14" t="s">
        <v>1799</v>
      </c>
      <c r="B447" s="8" t="s">
        <v>1800</v>
      </c>
      <c r="C447" s="9">
        <v>6</v>
      </c>
      <c r="D447" s="10">
        <v>14.99</v>
      </c>
      <c r="E447" s="9" t="s">
        <v>1801</v>
      </c>
      <c r="F447" s="8" t="s">
        <v>469</v>
      </c>
      <c r="G447" s="14" t="s">
        <v>450</v>
      </c>
      <c r="H447" s="10">
        <v>2.8308823529411762</v>
      </c>
      <c r="I447" s="8" t="s">
        <v>47</v>
      </c>
      <c r="J447" s="8" t="s">
        <v>1127</v>
      </c>
      <c r="K447" s="8"/>
      <c r="L447" s="8"/>
      <c r="M447" s="15" t="str">
        <f t="shared" si="3"/>
        <v xml:space="preserve">http://slimages.macys.com/is/image/MCY/18158644 </v>
      </c>
      <c r="N447" s="13"/>
    </row>
    <row r="448" spans="1:14" ht="36" x14ac:dyDescent="0.25">
      <c r="A448" s="14" t="s">
        <v>1799</v>
      </c>
      <c r="B448" s="8" t="s">
        <v>1800</v>
      </c>
      <c r="C448" s="9">
        <v>2</v>
      </c>
      <c r="D448" s="10">
        <v>14.99</v>
      </c>
      <c r="E448" s="9" t="s">
        <v>1801</v>
      </c>
      <c r="F448" s="8" t="s">
        <v>469</v>
      </c>
      <c r="G448" s="14" t="s">
        <v>450</v>
      </c>
      <c r="H448" s="10">
        <v>2.8308823529411762</v>
      </c>
      <c r="I448" s="8" t="s">
        <v>47</v>
      </c>
      <c r="J448" s="8" t="s">
        <v>1127</v>
      </c>
      <c r="K448" s="8"/>
      <c r="L448" s="8"/>
      <c r="M448" s="15" t="str">
        <f t="shared" si="3"/>
        <v xml:space="preserve">http://slimages.macys.com/is/image/MCY/18158644 </v>
      </c>
      <c r="N448" s="13"/>
    </row>
    <row r="449" spans="1:14" ht="36" x14ac:dyDescent="0.25">
      <c r="A449" s="14" t="s">
        <v>1793</v>
      </c>
      <c r="B449" s="8" t="s">
        <v>1794</v>
      </c>
      <c r="C449" s="9">
        <v>2</v>
      </c>
      <c r="D449" s="10">
        <v>14.99</v>
      </c>
      <c r="E449" s="9" t="s">
        <v>1795</v>
      </c>
      <c r="F449" s="8" t="s">
        <v>313</v>
      </c>
      <c r="G449" s="14" t="s">
        <v>450</v>
      </c>
      <c r="H449" s="10">
        <v>2.8308823529411762</v>
      </c>
      <c r="I449" s="8" t="s">
        <v>47</v>
      </c>
      <c r="J449" s="8" t="s">
        <v>1127</v>
      </c>
      <c r="K449" s="8"/>
      <c r="L449" s="8"/>
      <c r="M449" s="15" t="str">
        <f t="shared" si="3"/>
        <v xml:space="preserve">http://slimages.macys.com/is/image/MCY/18158644 </v>
      </c>
      <c r="N449" s="13"/>
    </row>
    <row r="450" spans="1:14" ht="36" x14ac:dyDescent="0.25">
      <c r="A450" s="14" t="s">
        <v>1793</v>
      </c>
      <c r="B450" s="8" t="s">
        <v>1794</v>
      </c>
      <c r="C450" s="9">
        <v>6</v>
      </c>
      <c r="D450" s="10">
        <v>14.99</v>
      </c>
      <c r="E450" s="9" t="s">
        <v>1795</v>
      </c>
      <c r="F450" s="8" t="s">
        <v>313</v>
      </c>
      <c r="G450" s="14" t="s">
        <v>450</v>
      </c>
      <c r="H450" s="10">
        <v>2.8308823529411762</v>
      </c>
      <c r="I450" s="8" t="s">
        <v>47</v>
      </c>
      <c r="J450" s="8" t="s">
        <v>1127</v>
      </c>
      <c r="K450" s="8"/>
      <c r="L450" s="8"/>
      <c r="M450" s="15" t="str">
        <f t="shared" si="3"/>
        <v xml:space="preserve">http://slimages.macys.com/is/image/MCY/18158644 </v>
      </c>
      <c r="N450" s="13"/>
    </row>
    <row r="451" spans="1:14" ht="36" x14ac:dyDescent="0.25">
      <c r="A451" s="14" t="s">
        <v>510</v>
      </c>
      <c r="B451" s="8" t="s">
        <v>511</v>
      </c>
      <c r="C451" s="9">
        <v>1</v>
      </c>
      <c r="D451" s="10">
        <v>117.99</v>
      </c>
      <c r="E451" s="9" t="s">
        <v>512</v>
      </c>
      <c r="F451" s="8" t="s">
        <v>65</v>
      </c>
      <c r="G451" s="14"/>
      <c r="H451" s="10">
        <v>17.647058823529409</v>
      </c>
      <c r="I451" s="8" t="s">
        <v>31</v>
      </c>
      <c r="J451" s="8" t="s">
        <v>513</v>
      </c>
      <c r="K451" s="8" t="s">
        <v>33</v>
      </c>
      <c r="L451" s="8" t="s">
        <v>200</v>
      </c>
      <c r="M451" s="15" t="str">
        <f>HYPERLINK("http://slimages.macys.com/is/image/MCY/15941086 ")</f>
        <v xml:space="preserve">http://slimages.macys.com/is/image/MCY/15941086 </v>
      </c>
      <c r="N451" s="13"/>
    </row>
    <row r="452" spans="1:14" ht="36" x14ac:dyDescent="0.25">
      <c r="A452" s="14" t="s">
        <v>382</v>
      </c>
      <c r="B452" s="8" t="s">
        <v>383</v>
      </c>
      <c r="C452" s="9">
        <v>1</v>
      </c>
      <c r="D452" s="10">
        <v>109.99</v>
      </c>
      <c r="E452" s="9" t="s">
        <v>384</v>
      </c>
      <c r="F452" s="8" t="s">
        <v>114</v>
      </c>
      <c r="G452" s="14"/>
      <c r="H452" s="10">
        <v>21.547058823529408</v>
      </c>
      <c r="I452" s="8" t="s">
        <v>31</v>
      </c>
      <c r="J452" s="8" t="s">
        <v>385</v>
      </c>
      <c r="K452" s="8"/>
      <c r="L452" s="8"/>
      <c r="M452" s="15" t="str">
        <f>HYPERLINK("http://slimages.macys.com/is/image/MCY/17387612 ")</f>
        <v xml:space="preserve">http://slimages.macys.com/is/image/MCY/17387612 </v>
      </c>
      <c r="N452" s="13"/>
    </row>
    <row r="453" spans="1:14" ht="24" x14ac:dyDescent="0.25">
      <c r="A453" s="14" t="s">
        <v>1881</v>
      </c>
      <c r="B453" s="8" t="s">
        <v>1882</v>
      </c>
      <c r="C453" s="9">
        <v>1</v>
      </c>
      <c r="D453" s="10">
        <v>45.99</v>
      </c>
      <c r="E453" s="9" t="s">
        <v>1883</v>
      </c>
      <c r="F453" s="8" t="s">
        <v>1884</v>
      </c>
      <c r="G453" s="14"/>
      <c r="H453" s="10">
        <v>9.8161764705882337</v>
      </c>
      <c r="I453" s="8" t="s">
        <v>555</v>
      </c>
      <c r="J453" s="8" t="s">
        <v>556</v>
      </c>
      <c r="K453" s="8"/>
      <c r="L453" s="8"/>
      <c r="M453" s="15"/>
      <c r="N453" s="13"/>
    </row>
    <row r="454" spans="1:14" ht="60" x14ac:dyDescent="0.25">
      <c r="A454" s="14" t="s">
        <v>1888</v>
      </c>
      <c r="B454" s="8" t="s">
        <v>1889</v>
      </c>
      <c r="C454" s="9">
        <v>1</v>
      </c>
      <c r="D454" s="10">
        <v>39.99</v>
      </c>
      <c r="E454" s="9" t="s">
        <v>1890</v>
      </c>
      <c r="F454" s="8" t="s">
        <v>118</v>
      </c>
      <c r="G454" s="14"/>
      <c r="H454" s="10">
        <v>5.1617647058823524</v>
      </c>
      <c r="I454" s="8" t="s">
        <v>284</v>
      </c>
      <c r="J454" s="8" t="s">
        <v>285</v>
      </c>
      <c r="K454" s="8"/>
      <c r="L454" s="8"/>
      <c r="M454" s="15"/>
      <c r="N454" s="13"/>
    </row>
    <row r="455" spans="1:14" ht="60" x14ac:dyDescent="0.25">
      <c r="A455" s="14" t="s">
        <v>1888</v>
      </c>
      <c r="B455" s="8" t="s">
        <v>1889</v>
      </c>
      <c r="C455" s="9">
        <v>3</v>
      </c>
      <c r="D455" s="10">
        <v>39.99</v>
      </c>
      <c r="E455" s="9" t="s">
        <v>1890</v>
      </c>
      <c r="F455" s="8" t="s">
        <v>118</v>
      </c>
      <c r="G455" s="14"/>
      <c r="H455" s="10">
        <v>5.1617647058823524</v>
      </c>
      <c r="I455" s="8" t="s">
        <v>284</v>
      </c>
      <c r="J455" s="8" t="s">
        <v>285</v>
      </c>
      <c r="K455" s="8"/>
      <c r="L455" s="8"/>
      <c r="M455" s="15"/>
      <c r="N455" s="13"/>
    </row>
    <row r="456" spans="1:14" ht="60" x14ac:dyDescent="0.25">
      <c r="A456" s="14" t="s">
        <v>1888</v>
      </c>
      <c r="B456" s="8" t="s">
        <v>1889</v>
      </c>
      <c r="C456" s="9">
        <v>1</v>
      </c>
      <c r="D456" s="10">
        <v>39.99</v>
      </c>
      <c r="E456" s="9" t="s">
        <v>1890</v>
      </c>
      <c r="F456" s="8" t="s">
        <v>118</v>
      </c>
      <c r="G456" s="14"/>
      <c r="H456" s="10">
        <v>5.1617647058823524</v>
      </c>
      <c r="I456" s="8" t="s">
        <v>284</v>
      </c>
      <c r="J456" s="8" t="s">
        <v>285</v>
      </c>
      <c r="K456" s="8"/>
      <c r="L456" s="8"/>
      <c r="M456" s="15"/>
      <c r="N456" s="13"/>
    </row>
    <row r="457" spans="1:14" ht="48" x14ac:dyDescent="0.25">
      <c r="A457" s="14" t="s">
        <v>524</v>
      </c>
      <c r="B457" s="8" t="s">
        <v>525</v>
      </c>
      <c r="C457" s="9">
        <v>4</v>
      </c>
      <c r="D457" s="10">
        <v>98.99</v>
      </c>
      <c r="E457" s="9" t="s">
        <v>526</v>
      </c>
      <c r="F457" s="8" t="s">
        <v>30</v>
      </c>
      <c r="G457" s="14" t="s">
        <v>527</v>
      </c>
      <c r="H457" s="10">
        <v>17.242647058823529</v>
      </c>
      <c r="I457" s="8" t="s">
        <v>47</v>
      </c>
      <c r="J457" s="8" t="s">
        <v>480</v>
      </c>
      <c r="K457" s="8" t="s">
        <v>33</v>
      </c>
      <c r="L457" s="8" t="s">
        <v>200</v>
      </c>
      <c r="M457" s="15" t="str">
        <f>HYPERLINK("http://slimages.macys.com/is/image/MCY/14408701 ")</f>
        <v xml:space="preserve">http://slimages.macys.com/is/image/MCY/14408701 </v>
      </c>
      <c r="N457" s="13"/>
    </row>
    <row r="458" spans="1:14" ht="36" x14ac:dyDescent="0.25">
      <c r="A458" s="14" t="s">
        <v>1493</v>
      </c>
      <c r="B458" s="8" t="s">
        <v>1494</v>
      </c>
      <c r="C458" s="9">
        <v>4</v>
      </c>
      <c r="D458" s="10">
        <v>19.989999999999998</v>
      </c>
      <c r="E458" s="9">
        <v>46584</v>
      </c>
      <c r="F458" s="8" t="s">
        <v>635</v>
      </c>
      <c r="G458" s="14" t="s">
        <v>1495</v>
      </c>
      <c r="H458" s="10">
        <v>5.2242647058823533</v>
      </c>
      <c r="I458" s="8" t="s">
        <v>47</v>
      </c>
      <c r="J458" s="8" t="s">
        <v>1001</v>
      </c>
      <c r="K458" s="8" t="s">
        <v>33</v>
      </c>
      <c r="L458" s="8" t="s">
        <v>200</v>
      </c>
      <c r="M458" s="15" t="str">
        <f>HYPERLINK("http://slimages.macys.com/is/image/MCY/10008445 ")</f>
        <v xml:space="preserve">http://slimages.macys.com/is/image/MCY/10008445 </v>
      </c>
      <c r="N458" s="13"/>
    </row>
    <row r="459" spans="1:14" ht="36" x14ac:dyDescent="0.25">
      <c r="A459" s="14" t="s">
        <v>1584</v>
      </c>
      <c r="B459" s="8" t="s">
        <v>1585</v>
      </c>
      <c r="C459" s="9">
        <v>3</v>
      </c>
      <c r="D459" s="10">
        <v>17.989999999999998</v>
      </c>
      <c r="E459" s="9">
        <v>37355</v>
      </c>
      <c r="F459" s="8" t="s">
        <v>30</v>
      </c>
      <c r="G459" s="14" t="s">
        <v>1495</v>
      </c>
      <c r="H459" s="10">
        <v>4.5808823529411766</v>
      </c>
      <c r="I459" s="8" t="s">
        <v>47</v>
      </c>
      <c r="J459" s="8" t="s">
        <v>1001</v>
      </c>
      <c r="K459" s="8" t="s">
        <v>33</v>
      </c>
      <c r="L459" s="8" t="s">
        <v>200</v>
      </c>
      <c r="M459" s="15" t="str">
        <f>HYPERLINK("http://slimages.macys.com/is/image/MCY/10009173 ")</f>
        <v xml:space="preserve">http://slimages.macys.com/is/image/MCY/10009173 </v>
      </c>
      <c r="N459" s="13"/>
    </row>
    <row r="460" spans="1:14" ht="36" x14ac:dyDescent="0.25">
      <c r="A460" s="14" t="s">
        <v>1831</v>
      </c>
      <c r="B460" s="8" t="s">
        <v>1832</v>
      </c>
      <c r="C460" s="9">
        <v>1</v>
      </c>
      <c r="D460" s="10">
        <v>9.99</v>
      </c>
      <c r="E460" s="9">
        <v>24889</v>
      </c>
      <c r="F460" s="8" t="s">
        <v>173</v>
      </c>
      <c r="G460" s="14"/>
      <c r="H460" s="10">
        <v>2.4448529411764706</v>
      </c>
      <c r="I460" s="8" t="s">
        <v>47</v>
      </c>
      <c r="J460" s="8" t="s">
        <v>1001</v>
      </c>
      <c r="K460" s="8" t="s">
        <v>33</v>
      </c>
      <c r="L460" s="8" t="s">
        <v>200</v>
      </c>
      <c r="M460" s="15" t="str">
        <f>HYPERLINK("http://slimages.macys.com/is/image/MCY/10004251 ")</f>
        <v xml:space="preserve">http://slimages.macys.com/is/image/MCY/10004251 </v>
      </c>
      <c r="N460" s="13"/>
    </row>
    <row r="461" spans="1:14" ht="36" x14ac:dyDescent="0.25">
      <c r="A461" s="14" t="s">
        <v>1496</v>
      </c>
      <c r="B461" s="8" t="s">
        <v>1497</v>
      </c>
      <c r="C461" s="9">
        <v>1</v>
      </c>
      <c r="D461" s="10">
        <v>19.989999999999998</v>
      </c>
      <c r="E461" s="9">
        <v>42552</v>
      </c>
      <c r="F461" s="8" t="s">
        <v>30</v>
      </c>
      <c r="G461" s="14"/>
      <c r="H461" s="10">
        <v>5.2242647058823533</v>
      </c>
      <c r="I461" s="8" t="s">
        <v>47</v>
      </c>
      <c r="J461" s="8" t="s">
        <v>1001</v>
      </c>
      <c r="K461" s="8" t="s">
        <v>33</v>
      </c>
      <c r="L461" s="8" t="s">
        <v>200</v>
      </c>
      <c r="M461" s="15" t="str">
        <f>HYPERLINK("http://slimages.macys.com/is/image/MCY/10009174 ")</f>
        <v xml:space="preserve">http://slimages.macys.com/is/image/MCY/10009174 </v>
      </c>
      <c r="N461" s="13"/>
    </row>
    <row r="462" spans="1:14" ht="36" x14ac:dyDescent="0.25">
      <c r="A462" s="14" t="s">
        <v>1705</v>
      </c>
      <c r="B462" s="8" t="s">
        <v>1706</v>
      </c>
      <c r="C462" s="9">
        <v>3</v>
      </c>
      <c r="D462" s="10">
        <v>14.99</v>
      </c>
      <c r="E462" s="9">
        <v>38802</v>
      </c>
      <c r="F462" s="8" t="s">
        <v>30</v>
      </c>
      <c r="G462" s="14"/>
      <c r="H462" s="10">
        <v>3.5257352941176467</v>
      </c>
      <c r="I462" s="8" t="s">
        <v>47</v>
      </c>
      <c r="J462" s="8" t="s">
        <v>1001</v>
      </c>
      <c r="K462" s="8" t="s">
        <v>33</v>
      </c>
      <c r="L462" s="8"/>
      <c r="M462" s="15" t="str">
        <f>HYPERLINK("http://slimages.macys.com/is/image/MCY/10010010 ")</f>
        <v xml:space="preserve">http://slimages.macys.com/is/image/MCY/10010010 </v>
      </c>
      <c r="N462" s="13"/>
    </row>
    <row r="463" spans="1:14" ht="36" x14ac:dyDescent="0.25">
      <c r="A463" s="14" t="s">
        <v>1685</v>
      </c>
      <c r="B463" s="8" t="s">
        <v>1686</v>
      </c>
      <c r="C463" s="9">
        <v>3</v>
      </c>
      <c r="D463" s="10">
        <v>14.99</v>
      </c>
      <c r="E463" s="9">
        <v>56302</v>
      </c>
      <c r="F463" s="8" t="s">
        <v>123</v>
      </c>
      <c r="G463" s="14"/>
      <c r="H463" s="10">
        <v>3.7830882352941169</v>
      </c>
      <c r="I463" s="8" t="s">
        <v>47</v>
      </c>
      <c r="J463" s="8" t="s">
        <v>1001</v>
      </c>
      <c r="K463" s="8" t="s">
        <v>33</v>
      </c>
      <c r="L463" s="8"/>
      <c r="M463" s="15" t="str">
        <f>HYPERLINK("http://slimages.macys.com/is/image/MCY/9644198 ")</f>
        <v xml:space="preserve">http://slimages.macys.com/is/image/MCY/9644198 </v>
      </c>
      <c r="N463" s="13"/>
    </row>
    <row r="464" spans="1:14" ht="36" x14ac:dyDescent="0.25">
      <c r="A464" s="14" t="s">
        <v>417</v>
      </c>
      <c r="B464" s="8" t="s">
        <v>418</v>
      </c>
      <c r="C464" s="9">
        <v>1</v>
      </c>
      <c r="D464" s="10">
        <v>103.99</v>
      </c>
      <c r="E464" s="9">
        <v>3586515</v>
      </c>
      <c r="F464" s="8" t="s">
        <v>173</v>
      </c>
      <c r="G464" s="14"/>
      <c r="H464" s="10">
        <v>20.474999999999998</v>
      </c>
      <c r="I464" s="8" t="s">
        <v>31</v>
      </c>
      <c r="J464" s="8" t="s">
        <v>419</v>
      </c>
      <c r="K464" s="8" t="s">
        <v>33</v>
      </c>
      <c r="L464" s="8"/>
      <c r="M464" s="15" t="str">
        <f>HYPERLINK("http://slimages.macys.com/is/image/MCY/8780215 ")</f>
        <v xml:space="preserve">http://slimages.macys.com/is/image/MCY/8780215 </v>
      </c>
      <c r="N464" s="13"/>
    </row>
    <row r="465" spans="1:14" ht="36" x14ac:dyDescent="0.25">
      <c r="A465" s="14" t="s">
        <v>1747</v>
      </c>
      <c r="B465" s="8" t="s">
        <v>1748</v>
      </c>
      <c r="C465" s="9">
        <v>2</v>
      </c>
      <c r="D465" s="10">
        <v>16.989999999999998</v>
      </c>
      <c r="E465" s="9">
        <v>3586357</v>
      </c>
      <c r="F465" s="8" t="s">
        <v>118</v>
      </c>
      <c r="G465" s="14" t="s">
        <v>46</v>
      </c>
      <c r="H465" s="10">
        <v>3.1897058823529409</v>
      </c>
      <c r="I465" s="8" t="s">
        <v>31</v>
      </c>
      <c r="J465" s="8" t="s">
        <v>419</v>
      </c>
      <c r="K465" s="8" t="s">
        <v>33</v>
      </c>
      <c r="L465" s="8"/>
      <c r="M465" s="15" t="str">
        <f>HYPERLINK("http://slimages.macys.com/is/image/MCY/8780219 ")</f>
        <v xml:space="preserve">http://slimages.macys.com/is/image/MCY/8780219 </v>
      </c>
      <c r="N465" s="13"/>
    </row>
    <row r="466" spans="1:14" ht="36" x14ac:dyDescent="0.25">
      <c r="A466" s="14" t="s">
        <v>1765</v>
      </c>
      <c r="B466" s="8" t="s">
        <v>1766</v>
      </c>
      <c r="C466" s="9">
        <v>1</v>
      </c>
      <c r="D466" s="10">
        <v>16.989999999999998</v>
      </c>
      <c r="E466" s="9">
        <v>3151210</v>
      </c>
      <c r="F466" s="8" t="s">
        <v>173</v>
      </c>
      <c r="G466" s="14" t="s">
        <v>46</v>
      </c>
      <c r="H466" s="10">
        <v>3.0970588235294114</v>
      </c>
      <c r="I466" s="8" t="s">
        <v>31</v>
      </c>
      <c r="J466" s="8" t="s">
        <v>419</v>
      </c>
      <c r="K466" s="8" t="s">
        <v>33</v>
      </c>
      <c r="L466" s="8" t="s">
        <v>200</v>
      </c>
      <c r="M466" s="15" t="str">
        <f>HYPERLINK("http://slimages.macys.com/is/image/MCY/15847940 ")</f>
        <v xml:space="preserve">http://slimages.macys.com/is/image/MCY/15847940 </v>
      </c>
      <c r="N466" s="13"/>
    </row>
    <row r="467" spans="1:14" ht="36" x14ac:dyDescent="0.25">
      <c r="A467" s="14" t="s">
        <v>481</v>
      </c>
      <c r="B467" s="8" t="s">
        <v>482</v>
      </c>
      <c r="C467" s="9">
        <v>1</v>
      </c>
      <c r="D467" s="10">
        <v>90.99</v>
      </c>
      <c r="E467" s="9" t="s">
        <v>483</v>
      </c>
      <c r="F467" s="8" t="s">
        <v>118</v>
      </c>
      <c r="G467" s="14" t="s">
        <v>46</v>
      </c>
      <c r="H467" s="10">
        <v>18.564705882352939</v>
      </c>
      <c r="I467" s="8" t="s">
        <v>31</v>
      </c>
      <c r="J467" s="8" t="s">
        <v>419</v>
      </c>
      <c r="K467" s="8" t="s">
        <v>33</v>
      </c>
      <c r="L467" s="8" t="s">
        <v>200</v>
      </c>
      <c r="M467" s="15" t="str">
        <f>HYPERLINK("http://slimages.macys.com/is/image/MCY/16405174 ")</f>
        <v xml:space="preserve">http://slimages.macys.com/is/image/MCY/16405174 </v>
      </c>
      <c r="N467" s="13"/>
    </row>
    <row r="468" spans="1:14" ht="72" x14ac:dyDescent="0.25">
      <c r="A468" s="14" t="s">
        <v>495</v>
      </c>
      <c r="B468" s="8" t="s">
        <v>496</v>
      </c>
      <c r="C468" s="9">
        <v>1</v>
      </c>
      <c r="D468" s="10">
        <v>111.99</v>
      </c>
      <c r="E468" s="9" t="s">
        <v>497</v>
      </c>
      <c r="F468" s="8" t="s">
        <v>96</v>
      </c>
      <c r="G468" s="14"/>
      <c r="H468" s="10">
        <v>17.933823529411764</v>
      </c>
      <c r="I468" s="8" t="s">
        <v>31</v>
      </c>
      <c r="J468" s="8" t="s">
        <v>494</v>
      </c>
      <c r="K468" s="8" t="s">
        <v>33</v>
      </c>
      <c r="L468" s="8" t="s">
        <v>498</v>
      </c>
      <c r="M468" s="15" t="str">
        <f>HYPERLINK("http://slimages.macys.com/is/image/MCY/10005692 ")</f>
        <v xml:space="preserve">http://slimages.macys.com/is/image/MCY/10005692 </v>
      </c>
      <c r="N468" s="13"/>
    </row>
    <row r="469" spans="1:14" ht="36" x14ac:dyDescent="0.25">
      <c r="A469" s="14" t="s">
        <v>563</v>
      </c>
      <c r="B469" s="8" t="s">
        <v>564</v>
      </c>
      <c r="C469" s="9">
        <v>3</v>
      </c>
      <c r="D469" s="10">
        <v>79.989999999999995</v>
      </c>
      <c r="E469" s="9">
        <v>1294</v>
      </c>
      <c r="F469" s="8" t="s">
        <v>45</v>
      </c>
      <c r="G469" s="14"/>
      <c r="H469" s="10">
        <v>16.698529411764707</v>
      </c>
      <c r="I469" s="8" t="s">
        <v>555</v>
      </c>
      <c r="J469" s="8" t="s">
        <v>565</v>
      </c>
      <c r="K469" s="8" t="s">
        <v>566</v>
      </c>
      <c r="L469" s="8" t="s">
        <v>567</v>
      </c>
      <c r="M469" s="15" t="str">
        <f>HYPERLINK("http://images.bloomingdales.com/is/image/BLM/10252662 ")</f>
        <v xml:space="preserve">http://images.bloomingdales.com/is/image/BLM/10252662 </v>
      </c>
      <c r="N469" s="13"/>
    </row>
    <row r="470" spans="1:14" ht="48" x14ac:dyDescent="0.25">
      <c r="A470" s="14" t="s">
        <v>1851</v>
      </c>
      <c r="B470" s="8" t="s">
        <v>1852</v>
      </c>
      <c r="C470" s="9">
        <v>2</v>
      </c>
      <c r="D470" s="10">
        <v>16.989999999999998</v>
      </c>
      <c r="E470" s="9" t="s">
        <v>1853</v>
      </c>
      <c r="F470" s="8" t="s">
        <v>118</v>
      </c>
      <c r="G470" s="14" t="s">
        <v>1854</v>
      </c>
      <c r="H470" s="10">
        <v>2.3213235294117647</v>
      </c>
      <c r="I470" s="8" t="s">
        <v>47</v>
      </c>
      <c r="J470" s="8" t="s">
        <v>647</v>
      </c>
      <c r="K470" s="8" t="s">
        <v>33</v>
      </c>
      <c r="L470" s="8" t="s">
        <v>49</v>
      </c>
      <c r="M470" s="15" t="str">
        <f>HYPERLINK("http://slimages.macys.com/is/image/MCY/12265629 ")</f>
        <v xml:space="preserve">http://slimages.macys.com/is/image/MCY/12265629 </v>
      </c>
      <c r="N470" s="13"/>
    </row>
    <row r="471" spans="1:14" ht="48" x14ac:dyDescent="0.25">
      <c r="A471" s="14" t="s">
        <v>1656</v>
      </c>
      <c r="B471" s="8" t="s">
        <v>1657</v>
      </c>
      <c r="C471" s="9">
        <v>1</v>
      </c>
      <c r="D471" s="10">
        <v>27.99</v>
      </c>
      <c r="E471" s="9" t="s">
        <v>1658</v>
      </c>
      <c r="F471" s="8" t="s">
        <v>1163</v>
      </c>
      <c r="G471" s="14" t="s">
        <v>1659</v>
      </c>
      <c r="H471" s="10">
        <v>4.009558823529412</v>
      </c>
      <c r="I471" s="8" t="s">
        <v>47</v>
      </c>
      <c r="J471" s="8" t="s">
        <v>647</v>
      </c>
      <c r="K471" s="8" t="s">
        <v>33</v>
      </c>
      <c r="L471" s="8" t="s">
        <v>1660</v>
      </c>
      <c r="M471" s="15" t="str">
        <f>HYPERLINK("http://slimages.macys.com/is/image/MCY/12265150 ")</f>
        <v xml:space="preserve">http://slimages.macys.com/is/image/MCY/12265150 </v>
      </c>
      <c r="N471" s="13"/>
    </row>
    <row r="472" spans="1:14" ht="48" x14ac:dyDescent="0.25">
      <c r="A472" s="14" t="s">
        <v>1661</v>
      </c>
      <c r="B472" s="8" t="s">
        <v>1662</v>
      </c>
      <c r="C472" s="9">
        <v>1</v>
      </c>
      <c r="D472" s="10">
        <v>22.99</v>
      </c>
      <c r="E472" s="9" t="s">
        <v>1663</v>
      </c>
      <c r="F472" s="8" t="s">
        <v>635</v>
      </c>
      <c r="G472" s="14"/>
      <c r="H472" s="10">
        <v>3.9889705882352935</v>
      </c>
      <c r="I472" s="8" t="s">
        <v>47</v>
      </c>
      <c r="J472" s="8" t="s">
        <v>647</v>
      </c>
      <c r="K472" s="8" t="s">
        <v>33</v>
      </c>
      <c r="L472" s="8" t="s">
        <v>1664</v>
      </c>
      <c r="M472" s="15" t="str">
        <f>HYPERLINK("http://slimages.macys.com/is/image/MCY/12265789 ")</f>
        <v xml:space="preserve">http://slimages.macys.com/is/image/MCY/12265789 </v>
      </c>
      <c r="N472" s="13"/>
    </row>
    <row r="473" spans="1:14" ht="48" x14ac:dyDescent="0.25">
      <c r="A473" s="14" t="s">
        <v>1687</v>
      </c>
      <c r="B473" s="8" t="s">
        <v>1688</v>
      </c>
      <c r="C473" s="9">
        <v>2</v>
      </c>
      <c r="D473" s="10">
        <v>25.99</v>
      </c>
      <c r="E473" s="9" t="s">
        <v>1689</v>
      </c>
      <c r="F473" s="8" t="s">
        <v>45</v>
      </c>
      <c r="G473" s="14"/>
      <c r="H473" s="10">
        <v>3.6955882352941174</v>
      </c>
      <c r="I473" s="8" t="s">
        <v>47</v>
      </c>
      <c r="J473" s="8" t="s">
        <v>647</v>
      </c>
      <c r="K473" s="8" t="s">
        <v>33</v>
      </c>
      <c r="L473" s="8" t="s">
        <v>1664</v>
      </c>
      <c r="M473" s="15" t="str">
        <f>HYPERLINK("http://slimages.macys.com/is/image/MCY/12265809 ")</f>
        <v xml:space="preserve">http://slimages.macys.com/is/image/MCY/12265809 </v>
      </c>
      <c r="N473" s="13"/>
    </row>
    <row r="474" spans="1:14" ht="48" x14ac:dyDescent="0.25">
      <c r="A474" s="14" t="s">
        <v>1109</v>
      </c>
      <c r="B474" s="8" t="s">
        <v>1110</v>
      </c>
      <c r="C474" s="9">
        <v>1</v>
      </c>
      <c r="D474" s="10">
        <v>49.99</v>
      </c>
      <c r="E474" s="9" t="s">
        <v>1111</v>
      </c>
      <c r="F474" s="8" t="s">
        <v>795</v>
      </c>
      <c r="G474" s="14"/>
      <c r="H474" s="10">
        <v>8.4397058823529409</v>
      </c>
      <c r="I474" s="8" t="s">
        <v>54</v>
      </c>
      <c r="J474" s="8" t="s">
        <v>1112</v>
      </c>
      <c r="K474" s="8" t="s">
        <v>33</v>
      </c>
      <c r="L474" s="8" t="s">
        <v>56</v>
      </c>
      <c r="M474" s="15" t="str">
        <f>HYPERLINK("http://slimages.macys.com/is/image/MCY/13912728 ")</f>
        <v xml:space="preserve">http://slimages.macys.com/is/image/MCY/13912728 </v>
      </c>
      <c r="N474" s="13"/>
    </row>
    <row r="475" spans="1:14" ht="72" x14ac:dyDescent="0.25">
      <c r="A475" s="14" t="s">
        <v>1083</v>
      </c>
      <c r="B475" s="8" t="s">
        <v>1084</v>
      </c>
      <c r="C475" s="9">
        <v>1</v>
      </c>
      <c r="D475" s="10">
        <v>35.99</v>
      </c>
      <c r="E475" s="9" t="s">
        <v>1085</v>
      </c>
      <c r="F475" s="8" t="s">
        <v>30</v>
      </c>
      <c r="G475" s="14" t="s">
        <v>1086</v>
      </c>
      <c r="H475" s="10">
        <v>8.75</v>
      </c>
      <c r="I475" s="8" t="s">
        <v>101</v>
      </c>
      <c r="J475" s="8" t="s">
        <v>380</v>
      </c>
      <c r="K475" s="8" t="s">
        <v>33</v>
      </c>
      <c r="L475" s="8" t="s">
        <v>1087</v>
      </c>
      <c r="M475" s="15" t="str">
        <f>HYPERLINK("http://slimages.macys.com/is/image/MCY/3422110 ")</f>
        <v xml:space="preserve">http://slimages.macys.com/is/image/MCY/3422110 </v>
      </c>
      <c r="N475" s="13"/>
    </row>
    <row r="476" spans="1:14" ht="96" x14ac:dyDescent="0.25">
      <c r="A476" s="14" t="s">
        <v>377</v>
      </c>
      <c r="B476" s="8" t="s">
        <v>378</v>
      </c>
      <c r="C476" s="9">
        <v>1</v>
      </c>
      <c r="D476" s="10">
        <v>104.99</v>
      </c>
      <c r="E476" s="9" t="s">
        <v>379</v>
      </c>
      <c r="F476" s="8" t="s">
        <v>30</v>
      </c>
      <c r="G476" s="14"/>
      <c r="H476" s="10">
        <v>21.617647058823525</v>
      </c>
      <c r="I476" s="8" t="s">
        <v>101</v>
      </c>
      <c r="J476" s="8" t="s">
        <v>380</v>
      </c>
      <c r="K476" s="8" t="s">
        <v>33</v>
      </c>
      <c r="L476" s="8" t="s">
        <v>381</v>
      </c>
      <c r="M476" s="15" t="str">
        <f>HYPERLINK("http://slimages.macys.com/is/image/MCY/11532924 ")</f>
        <v xml:space="preserve">http://slimages.macys.com/is/image/MCY/11532924 </v>
      </c>
      <c r="N476" s="13"/>
    </row>
    <row r="477" spans="1:14" ht="48" x14ac:dyDescent="0.25">
      <c r="A477" s="14" t="s">
        <v>582</v>
      </c>
      <c r="B477" s="8" t="s">
        <v>583</v>
      </c>
      <c r="C477" s="9">
        <v>1</v>
      </c>
      <c r="D477" s="10">
        <v>79.989999999999995</v>
      </c>
      <c r="E477" s="9" t="s">
        <v>584</v>
      </c>
      <c r="F477" s="8" t="s">
        <v>30</v>
      </c>
      <c r="G477" s="14" t="s">
        <v>585</v>
      </c>
      <c r="H477" s="10">
        <v>16.470588235294116</v>
      </c>
      <c r="I477" s="8" t="s">
        <v>101</v>
      </c>
      <c r="J477" s="8" t="s">
        <v>380</v>
      </c>
      <c r="K477" s="8" t="s">
        <v>33</v>
      </c>
      <c r="L477" s="8" t="s">
        <v>586</v>
      </c>
      <c r="M477" s="15" t="str">
        <f>HYPERLINK("http://slimages.macys.com/is/image/MCY/11532994 ")</f>
        <v xml:space="preserve">http://slimages.macys.com/is/image/MCY/11532994 </v>
      </c>
      <c r="N477" s="13"/>
    </row>
    <row r="478" spans="1:14" ht="36" x14ac:dyDescent="0.25">
      <c r="A478" s="14" t="s">
        <v>201</v>
      </c>
      <c r="B478" s="8" t="s">
        <v>202</v>
      </c>
      <c r="C478" s="9">
        <v>1</v>
      </c>
      <c r="D478" s="10">
        <v>190.99</v>
      </c>
      <c r="E478" s="9" t="s">
        <v>203</v>
      </c>
      <c r="F478" s="8" t="s">
        <v>30</v>
      </c>
      <c r="G478" s="14"/>
      <c r="H478" s="10">
        <v>28.676470588235293</v>
      </c>
      <c r="I478" s="8" t="s">
        <v>31</v>
      </c>
      <c r="J478" s="8" t="s">
        <v>204</v>
      </c>
      <c r="K478" s="8" t="s">
        <v>33</v>
      </c>
      <c r="L478" s="8" t="s">
        <v>205</v>
      </c>
      <c r="M478" s="15" t="str">
        <f>HYPERLINK("http://slimages.macys.com/is/image/MCY/14330185 ")</f>
        <v xml:space="preserve">http://slimages.macys.com/is/image/MCY/14330185 </v>
      </c>
      <c r="N478" s="13"/>
    </row>
    <row r="479" spans="1:14" ht="60" x14ac:dyDescent="0.25">
      <c r="A479" s="14" t="s">
        <v>319</v>
      </c>
      <c r="B479" s="8" t="s">
        <v>320</v>
      </c>
      <c r="C479" s="9">
        <v>1</v>
      </c>
      <c r="D479" s="10">
        <v>175.99</v>
      </c>
      <c r="E479" s="9">
        <v>79345</v>
      </c>
      <c r="F479" s="8" t="s">
        <v>321</v>
      </c>
      <c r="G479" s="14"/>
      <c r="H479" s="10">
        <v>23.435294117647057</v>
      </c>
      <c r="I479" s="8" t="s">
        <v>31</v>
      </c>
      <c r="J479" s="8" t="s">
        <v>86</v>
      </c>
      <c r="K479" s="8" t="s">
        <v>33</v>
      </c>
      <c r="L479" s="8" t="s">
        <v>322</v>
      </c>
      <c r="M479" s="15" t="str">
        <f>HYPERLINK("http://slimages.macys.com/is/image/MCY/11942490 ")</f>
        <v xml:space="preserve">http://slimages.macys.com/is/image/MCY/11942490 </v>
      </c>
      <c r="N479" s="13"/>
    </row>
    <row r="480" spans="1:14" ht="36" x14ac:dyDescent="0.25">
      <c r="A480" s="14" t="s">
        <v>206</v>
      </c>
      <c r="B480" s="8" t="s">
        <v>207</v>
      </c>
      <c r="C480" s="9">
        <v>1</v>
      </c>
      <c r="D480" s="10">
        <v>211.99</v>
      </c>
      <c r="E480" s="9">
        <v>77347</v>
      </c>
      <c r="F480" s="8" t="s">
        <v>123</v>
      </c>
      <c r="G480" s="14"/>
      <c r="H480" s="10">
        <v>28.27941176470588</v>
      </c>
      <c r="I480" s="8" t="s">
        <v>31</v>
      </c>
      <c r="J480" s="8" t="s">
        <v>86</v>
      </c>
      <c r="K480" s="8" t="s">
        <v>33</v>
      </c>
      <c r="L480" s="8" t="s">
        <v>208</v>
      </c>
      <c r="M480" s="15" t="str">
        <f>HYPERLINK("http://slimages.macys.com/is/image/MCY/11942483 ")</f>
        <v xml:space="preserve">http://slimages.macys.com/is/image/MCY/11942483 </v>
      </c>
      <c r="N480" s="13"/>
    </row>
    <row r="481" spans="1:14" ht="36" x14ac:dyDescent="0.25">
      <c r="A481" s="14" t="s">
        <v>83</v>
      </c>
      <c r="B481" s="8" t="s">
        <v>84</v>
      </c>
      <c r="C481" s="9">
        <v>1</v>
      </c>
      <c r="D481" s="10">
        <v>179.99</v>
      </c>
      <c r="E481" s="9">
        <v>82400</v>
      </c>
      <c r="F481" s="8" t="s">
        <v>85</v>
      </c>
      <c r="G481" s="14"/>
      <c r="H481" s="10">
        <v>41.210294117647052</v>
      </c>
      <c r="I481" s="8" t="s">
        <v>31</v>
      </c>
      <c r="J481" s="8" t="s">
        <v>86</v>
      </c>
      <c r="K481" s="8"/>
      <c r="L481" s="8"/>
      <c r="M481" s="15" t="str">
        <f>HYPERLINK("http://slimages.macys.com/is/image/MCY/17341494 ")</f>
        <v xml:space="preserve">http://slimages.macys.com/is/image/MCY/17341494 </v>
      </c>
      <c r="N481" s="13"/>
    </row>
    <row r="482" spans="1:14" ht="36" x14ac:dyDescent="0.25">
      <c r="A482" s="14" t="s">
        <v>386</v>
      </c>
      <c r="B482" s="8" t="s">
        <v>387</v>
      </c>
      <c r="C482" s="9">
        <v>1</v>
      </c>
      <c r="D482" s="10">
        <v>104.99</v>
      </c>
      <c r="E482" s="9">
        <v>81904</v>
      </c>
      <c r="F482" s="8" t="s">
        <v>388</v>
      </c>
      <c r="G482" s="14"/>
      <c r="H482" s="10">
        <v>21.516176470588235</v>
      </c>
      <c r="I482" s="8" t="s">
        <v>31</v>
      </c>
      <c r="J482" s="8" t="s">
        <v>86</v>
      </c>
      <c r="K482" s="8"/>
      <c r="L482" s="8"/>
      <c r="M482" s="15" t="str">
        <f>HYPERLINK("http://slimages.macys.com/is/image/MCY/17341433 ")</f>
        <v xml:space="preserve">http://slimages.macys.com/is/image/MCY/17341433 </v>
      </c>
      <c r="N482" s="13"/>
    </row>
    <row r="483" spans="1:14" ht="36" x14ac:dyDescent="0.25">
      <c r="A483" s="14" t="s">
        <v>215</v>
      </c>
      <c r="B483" s="8" t="s">
        <v>216</v>
      </c>
      <c r="C483" s="9">
        <v>1</v>
      </c>
      <c r="D483" s="10">
        <v>135.99</v>
      </c>
      <c r="E483" s="9">
        <v>82404</v>
      </c>
      <c r="F483" s="8" t="s">
        <v>217</v>
      </c>
      <c r="G483" s="14"/>
      <c r="H483" s="10">
        <v>27.895588235294117</v>
      </c>
      <c r="I483" s="8" t="s">
        <v>31</v>
      </c>
      <c r="J483" s="8" t="s">
        <v>86</v>
      </c>
      <c r="K483" s="8"/>
      <c r="L483" s="8"/>
      <c r="M483" s="15" t="str">
        <f>HYPERLINK("http://slimages.macys.com/is/image/MCY/17341504 ")</f>
        <v xml:space="preserve">http://slimages.macys.com/is/image/MCY/17341504 </v>
      </c>
      <c r="N483" s="13"/>
    </row>
    <row r="484" spans="1:14" ht="36" x14ac:dyDescent="0.25">
      <c r="A484" s="14" t="s">
        <v>864</v>
      </c>
      <c r="B484" s="8" t="s">
        <v>865</v>
      </c>
      <c r="C484" s="9">
        <v>1</v>
      </c>
      <c r="D484" s="10">
        <v>57.99</v>
      </c>
      <c r="E484" s="9" t="s">
        <v>866</v>
      </c>
      <c r="F484" s="8" t="s">
        <v>238</v>
      </c>
      <c r="G484" s="14" t="s">
        <v>46</v>
      </c>
      <c r="H484" s="10">
        <v>11.066176470588236</v>
      </c>
      <c r="I484" s="8" t="s">
        <v>47</v>
      </c>
      <c r="J484" s="8" t="s">
        <v>867</v>
      </c>
      <c r="K484" s="8" t="s">
        <v>33</v>
      </c>
      <c r="L484" s="8" t="s">
        <v>56</v>
      </c>
      <c r="M484" s="15" t="str">
        <f>HYPERLINK("http://slimages.macys.com/is/image/MCY/10808982 ")</f>
        <v xml:space="preserve">http://slimages.macys.com/is/image/MCY/10808982 </v>
      </c>
      <c r="N484" s="13"/>
    </row>
    <row r="485" spans="1:14" ht="36" x14ac:dyDescent="0.25">
      <c r="A485" s="14" t="s">
        <v>1030</v>
      </c>
      <c r="B485" s="8" t="s">
        <v>1031</v>
      </c>
      <c r="C485" s="9">
        <v>2</v>
      </c>
      <c r="D485" s="10">
        <v>19.989999999999998</v>
      </c>
      <c r="E485" s="9" t="s">
        <v>1032</v>
      </c>
      <c r="F485" s="8" t="s">
        <v>726</v>
      </c>
      <c r="G485" s="14"/>
      <c r="H485" s="10">
        <v>9.2647058823529402</v>
      </c>
      <c r="I485" s="8" t="s">
        <v>47</v>
      </c>
      <c r="J485" s="8" t="s">
        <v>959</v>
      </c>
      <c r="K485" s="8" t="s">
        <v>33</v>
      </c>
      <c r="L485" s="8"/>
      <c r="M485" s="15" t="str">
        <f>HYPERLINK("http://slimages.macys.com/is/image/MCY/8676583 ")</f>
        <v xml:space="preserve">http://slimages.macys.com/is/image/MCY/8676583 </v>
      </c>
      <c r="N485" s="13"/>
    </row>
    <row r="486" spans="1:14" ht="36" x14ac:dyDescent="0.25">
      <c r="A486" s="14" t="s">
        <v>956</v>
      </c>
      <c r="B486" s="8" t="s">
        <v>957</v>
      </c>
      <c r="C486" s="9">
        <v>2</v>
      </c>
      <c r="D486" s="10">
        <v>35.99</v>
      </c>
      <c r="E486" s="9" t="s">
        <v>958</v>
      </c>
      <c r="F486" s="8" t="s">
        <v>726</v>
      </c>
      <c r="G486" s="14"/>
      <c r="H486" s="10">
        <v>9.7794117647058822</v>
      </c>
      <c r="I486" s="8" t="s">
        <v>47</v>
      </c>
      <c r="J486" s="8" t="s">
        <v>959</v>
      </c>
      <c r="K486" s="8" t="s">
        <v>33</v>
      </c>
      <c r="L486" s="8" t="s">
        <v>960</v>
      </c>
      <c r="M486" s="15" t="str">
        <f>HYPERLINK("http://slimages.macys.com/is/image/MCY/2870603 ")</f>
        <v xml:space="preserve">http://slimages.macys.com/is/image/MCY/2870603 </v>
      </c>
      <c r="N486" s="13"/>
    </row>
    <row r="487" spans="1:14" ht="36" x14ac:dyDescent="0.25">
      <c r="A487" s="14" t="s">
        <v>1543</v>
      </c>
      <c r="B487" s="8" t="s">
        <v>1544</v>
      </c>
      <c r="C487" s="9">
        <v>2</v>
      </c>
      <c r="D487" s="10">
        <v>27.99</v>
      </c>
      <c r="E487" s="9" t="s">
        <v>1545</v>
      </c>
      <c r="F487" s="8" t="s">
        <v>707</v>
      </c>
      <c r="G487" s="14"/>
      <c r="H487" s="10">
        <v>4.8897058823529411</v>
      </c>
      <c r="I487" s="8" t="s">
        <v>47</v>
      </c>
      <c r="J487" s="8" t="s">
        <v>1546</v>
      </c>
      <c r="K487" s="8" t="s">
        <v>33</v>
      </c>
      <c r="L487" s="8" t="s">
        <v>200</v>
      </c>
      <c r="M487" s="15" t="str">
        <f>HYPERLINK("http://slimages.macys.com/is/image/MCY/15567231 ")</f>
        <v xml:space="preserve">http://slimages.macys.com/is/image/MCY/15567231 </v>
      </c>
      <c r="N487" s="13"/>
    </row>
    <row r="488" spans="1:14" ht="48" x14ac:dyDescent="0.25">
      <c r="A488" s="14" t="s">
        <v>1516</v>
      </c>
      <c r="B488" s="8" t="s">
        <v>1517</v>
      </c>
      <c r="C488" s="9">
        <v>1</v>
      </c>
      <c r="D488" s="10">
        <v>18.989999999999998</v>
      </c>
      <c r="E488" s="9" t="s">
        <v>1518</v>
      </c>
      <c r="F488" s="8" t="s">
        <v>1245</v>
      </c>
      <c r="G488" s="14"/>
      <c r="H488" s="10">
        <v>5.0735294117647056</v>
      </c>
      <c r="I488" s="8" t="s">
        <v>555</v>
      </c>
      <c r="J488" s="8" t="s">
        <v>309</v>
      </c>
      <c r="K488" s="8" t="s">
        <v>33</v>
      </c>
      <c r="L488" s="8"/>
      <c r="M488" s="15" t="str">
        <f>HYPERLINK("http://slimages.macys.com/is/image/MCY/14426507 ")</f>
        <v xml:space="preserve">http://slimages.macys.com/is/image/MCY/14426507 </v>
      </c>
      <c r="N488" s="13"/>
    </row>
    <row r="489" spans="1:14" ht="48" x14ac:dyDescent="0.25">
      <c r="A489" s="14" t="s">
        <v>1597</v>
      </c>
      <c r="B489" s="8" t="s">
        <v>1598</v>
      </c>
      <c r="C489" s="9">
        <v>1</v>
      </c>
      <c r="D489" s="10">
        <v>24.99</v>
      </c>
      <c r="E489" s="9" t="s">
        <v>1599</v>
      </c>
      <c r="F489" s="8" t="s">
        <v>1600</v>
      </c>
      <c r="G489" s="14"/>
      <c r="H489" s="10">
        <v>4.5044117647058819</v>
      </c>
      <c r="I489" s="8" t="s">
        <v>555</v>
      </c>
      <c r="J489" s="8" t="s">
        <v>309</v>
      </c>
      <c r="K489" s="8"/>
      <c r="L489" s="8"/>
      <c r="M489" s="15" t="str">
        <f>HYPERLINK("http://slimages.macys.com/is/image/MCY/17923602 ")</f>
        <v xml:space="preserve">http://slimages.macys.com/is/image/MCY/17923602 </v>
      </c>
      <c r="N489" s="13"/>
    </row>
    <row r="490" spans="1:14" ht="48" x14ac:dyDescent="0.25">
      <c r="A490" s="14" t="s">
        <v>1547</v>
      </c>
      <c r="B490" s="8" t="s">
        <v>1548</v>
      </c>
      <c r="C490" s="9">
        <v>1</v>
      </c>
      <c r="D490" s="10">
        <v>29.99</v>
      </c>
      <c r="E490" s="9" t="s">
        <v>1549</v>
      </c>
      <c r="F490" s="8" t="s">
        <v>238</v>
      </c>
      <c r="G490" s="14"/>
      <c r="H490" s="10">
        <v>4.8705882352941172</v>
      </c>
      <c r="I490" s="8" t="s">
        <v>555</v>
      </c>
      <c r="J490" s="8" t="s">
        <v>309</v>
      </c>
      <c r="K490" s="8"/>
      <c r="L490" s="8"/>
      <c r="M490" s="15" t="str">
        <f>HYPERLINK("http://slimages.macys.com/is/image/MCY/17923602 ")</f>
        <v xml:space="preserve">http://slimages.macys.com/is/image/MCY/17923602 </v>
      </c>
      <c r="N490" s="13"/>
    </row>
    <row r="491" spans="1:14" ht="48" x14ac:dyDescent="0.25">
      <c r="A491" s="14" t="s">
        <v>306</v>
      </c>
      <c r="B491" s="8" t="s">
        <v>307</v>
      </c>
      <c r="C491" s="9">
        <v>1</v>
      </c>
      <c r="D491" s="10">
        <v>105.99</v>
      </c>
      <c r="E491" s="9" t="s">
        <v>308</v>
      </c>
      <c r="F491" s="8" t="s">
        <v>38</v>
      </c>
      <c r="G491" s="14"/>
      <c r="H491" s="10">
        <v>24.044117647058822</v>
      </c>
      <c r="I491" s="8" t="s">
        <v>31</v>
      </c>
      <c r="J491" s="8" t="s">
        <v>309</v>
      </c>
      <c r="K491" s="8" t="s">
        <v>33</v>
      </c>
      <c r="L491" s="8" t="s">
        <v>200</v>
      </c>
      <c r="M491" s="15" t="str">
        <f>HYPERLINK("http://slimages.macys.com/is/image/MCY/15175570 ")</f>
        <v xml:space="preserve">http://slimages.macys.com/is/image/MCY/15175570 </v>
      </c>
      <c r="N491" s="13"/>
    </row>
    <row r="492" spans="1:14" ht="48" x14ac:dyDescent="0.25">
      <c r="A492" s="14" t="s">
        <v>1761</v>
      </c>
      <c r="B492" s="8" t="s">
        <v>1762</v>
      </c>
      <c r="C492" s="9">
        <v>13</v>
      </c>
      <c r="D492" s="10">
        <v>8.99</v>
      </c>
      <c r="E492" s="9" t="s">
        <v>1763</v>
      </c>
      <c r="F492" s="8" t="s">
        <v>1764</v>
      </c>
      <c r="G492" s="14"/>
      <c r="H492" s="10">
        <v>3.1323529411764701</v>
      </c>
      <c r="I492" s="8" t="s">
        <v>555</v>
      </c>
      <c r="J492" s="8" t="s">
        <v>309</v>
      </c>
      <c r="K492" s="8" t="s">
        <v>33</v>
      </c>
      <c r="L492" s="8" t="s">
        <v>200</v>
      </c>
      <c r="M492" s="15" t="str">
        <f>HYPERLINK("http://slimages.macys.com/is/image/MCY/3153811 ")</f>
        <v xml:space="preserve">http://slimages.macys.com/is/image/MCY/3153811 </v>
      </c>
      <c r="N492" s="13"/>
    </row>
    <row r="493" spans="1:14" ht="36" x14ac:dyDescent="0.25">
      <c r="A493" s="14" t="s">
        <v>1419</v>
      </c>
      <c r="B493" s="8" t="s">
        <v>1420</v>
      </c>
      <c r="C493" s="9">
        <v>1</v>
      </c>
      <c r="D493" s="10">
        <v>33.99</v>
      </c>
      <c r="E493" s="9">
        <v>1653</v>
      </c>
      <c r="F493" s="8" t="s">
        <v>1421</v>
      </c>
      <c r="G493" s="14" t="s">
        <v>450</v>
      </c>
      <c r="H493" s="10">
        <v>6.0014705882352946</v>
      </c>
      <c r="I493" s="8" t="s">
        <v>47</v>
      </c>
      <c r="J493" s="8" t="s">
        <v>1422</v>
      </c>
      <c r="K493" s="8" t="s">
        <v>33</v>
      </c>
      <c r="L493" s="8" t="s">
        <v>56</v>
      </c>
      <c r="M493" s="15" t="str">
        <f>HYPERLINK("http://slimages.macys.com/is/image/MCY/14832177 ")</f>
        <v xml:space="preserve">http://slimages.macys.com/is/image/MCY/14832177 </v>
      </c>
      <c r="N493" s="13"/>
    </row>
    <row r="494" spans="1:14" ht="36" x14ac:dyDescent="0.25">
      <c r="A494" s="14" t="s">
        <v>1296</v>
      </c>
      <c r="B494" s="8" t="s">
        <v>1297</v>
      </c>
      <c r="C494" s="9">
        <v>2</v>
      </c>
      <c r="D494" s="10">
        <v>39.99</v>
      </c>
      <c r="E494" s="9">
        <v>6580896</v>
      </c>
      <c r="F494" s="8" t="s">
        <v>795</v>
      </c>
      <c r="G494" s="14"/>
      <c r="H494" s="10">
        <v>6.9485294117647047</v>
      </c>
      <c r="I494" s="8" t="s">
        <v>47</v>
      </c>
      <c r="J494" s="8" t="s">
        <v>1298</v>
      </c>
      <c r="K494" s="8" t="s">
        <v>33</v>
      </c>
      <c r="L494" s="8" t="s">
        <v>49</v>
      </c>
      <c r="M494" s="15" t="str">
        <f>HYPERLINK("http://slimages.macys.com/is/image/MCY/14366160 ")</f>
        <v xml:space="preserve">http://slimages.macys.com/is/image/MCY/14366160 </v>
      </c>
      <c r="N494" s="13"/>
    </row>
    <row r="495" spans="1:14" ht="36" x14ac:dyDescent="0.25">
      <c r="A495" s="14" t="s">
        <v>1707</v>
      </c>
      <c r="B495" s="8" t="s">
        <v>1708</v>
      </c>
      <c r="C495" s="9">
        <v>1</v>
      </c>
      <c r="D495" s="10">
        <v>21.99</v>
      </c>
      <c r="E495" s="9">
        <v>6581497</v>
      </c>
      <c r="F495" s="8" t="s">
        <v>238</v>
      </c>
      <c r="G495" s="14"/>
      <c r="H495" s="10">
        <v>3.4742647058823524</v>
      </c>
      <c r="I495" s="8" t="s">
        <v>47</v>
      </c>
      <c r="J495" s="8" t="s">
        <v>1298</v>
      </c>
      <c r="K495" s="8" t="s">
        <v>33</v>
      </c>
      <c r="L495" s="8" t="s">
        <v>49</v>
      </c>
      <c r="M495" s="15" t="str">
        <f>HYPERLINK("http://slimages.macys.com/is/image/MCY/14365547 ")</f>
        <v xml:space="preserve">http://slimages.macys.com/is/image/MCY/14365547 </v>
      </c>
      <c r="N495" s="13"/>
    </row>
    <row r="496" spans="1:14" ht="36" x14ac:dyDescent="0.25">
      <c r="A496" s="14" t="s">
        <v>1057</v>
      </c>
      <c r="B496" s="8" t="s">
        <v>1058</v>
      </c>
      <c r="C496" s="9">
        <v>1</v>
      </c>
      <c r="D496" s="10">
        <v>39.99</v>
      </c>
      <c r="E496" s="9">
        <v>65716</v>
      </c>
      <c r="F496" s="8" t="s">
        <v>30</v>
      </c>
      <c r="G496" s="14"/>
      <c r="H496" s="10">
        <v>8.9919117647058808</v>
      </c>
      <c r="I496" s="8" t="s">
        <v>101</v>
      </c>
      <c r="J496" s="8" t="s">
        <v>599</v>
      </c>
      <c r="K496" s="8" t="s">
        <v>33</v>
      </c>
      <c r="L496" s="8" t="s">
        <v>56</v>
      </c>
      <c r="M496" s="15" t="str">
        <f>HYPERLINK("http://slimages.macys.com/is/image/MCY/14371062 ")</f>
        <v xml:space="preserve">http://slimages.macys.com/is/image/MCY/14371062 </v>
      </c>
      <c r="N496" s="13"/>
    </row>
    <row r="497" spans="1:14" ht="60" x14ac:dyDescent="0.25">
      <c r="A497" s="14" t="s">
        <v>1281</v>
      </c>
      <c r="B497" s="8" t="s">
        <v>1282</v>
      </c>
      <c r="C497" s="9">
        <v>2</v>
      </c>
      <c r="D497" s="10">
        <v>38.99</v>
      </c>
      <c r="E497" s="9">
        <v>70099</v>
      </c>
      <c r="F497" s="8" t="s">
        <v>30</v>
      </c>
      <c r="G497" s="14" t="s">
        <v>590</v>
      </c>
      <c r="H497" s="10">
        <v>6.9948529411764699</v>
      </c>
      <c r="I497" s="8" t="s">
        <v>101</v>
      </c>
      <c r="J497" s="8" t="s">
        <v>1283</v>
      </c>
      <c r="K497" s="8" t="s">
        <v>33</v>
      </c>
      <c r="L497" s="8" t="s">
        <v>49</v>
      </c>
      <c r="M497" s="15" t="str">
        <f>HYPERLINK("http://slimages.macys.com/is/image/MCY/10096554 ")</f>
        <v xml:space="preserve">http://slimages.macys.com/is/image/MCY/10096554 </v>
      </c>
      <c r="N497" s="13"/>
    </row>
    <row r="498" spans="1:14" ht="60" x14ac:dyDescent="0.25">
      <c r="A498" s="14" t="s">
        <v>531</v>
      </c>
      <c r="B498" s="8" t="s">
        <v>532</v>
      </c>
      <c r="C498" s="9">
        <v>1</v>
      </c>
      <c r="D498" s="10">
        <v>129.99</v>
      </c>
      <c r="E498" s="9" t="s">
        <v>533</v>
      </c>
      <c r="F498" s="8" t="s">
        <v>38</v>
      </c>
      <c r="G498" s="14"/>
      <c r="H498" s="10">
        <v>17.060294117647057</v>
      </c>
      <c r="I498" s="8" t="s">
        <v>39</v>
      </c>
      <c r="J498" s="8" t="s">
        <v>40</v>
      </c>
      <c r="K498" s="8" t="s">
        <v>33</v>
      </c>
      <c r="L498" s="8" t="s">
        <v>214</v>
      </c>
      <c r="M498" s="15" t="str">
        <f>HYPERLINK("http://slimages.macys.com/is/image/MCY/16404482 ")</f>
        <v xml:space="preserve">http://slimages.macys.com/is/image/MCY/16404482 </v>
      </c>
      <c r="N498" s="13"/>
    </row>
    <row r="499" spans="1:14" ht="36" x14ac:dyDescent="0.25">
      <c r="A499" s="14" t="s">
        <v>1885</v>
      </c>
      <c r="B499" s="8" t="s">
        <v>1886</v>
      </c>
      <c r="C499" s="9">
        <v>1</v>
      </c>
      <c r="D499" s="10">
        <v>39.99</v>
      </c>
      <c r="E499" s="9" t="s">
        <v>1887</v>
      </c>
      <c r="F499" s="8" t="s">
        <v>30</v>
      </c>
      <c r="G499" s="14" t="s">
        <v>1159</v>
      </c>
      <c r="H499" s="10">
        <v>7.879411764705881</v>
      </c>
      <c r="I499" s="8" t="s">
        <v>54</v>
      </c>
      <c r="J499" s="8" t="s">
        <v>55</v>
      </c>
      <c r="K499" s="8"/>
      <c r="L499" s="8"/>
      <c r="M499" s="15"/>
      <c r="N499" s="13"/>
    </row>
    <row r="500" spans="1:14" ht="36" x14ac:dyDescent="0.25">
      <c r="A500" s="14" t="s">
        <v>1875</v>
      </c>
      <c r="B500" s="8" t="s">
        <v>1876</v>
      </c>
      <c r="C500" s="9">
        <v>2</v>
      </c>
      <c r="D500" s="10">
        <v>49.99</v>
      </c>
      <c r="E500" s="9" t="s">
        <v>1877</v>
      </c>
      <c r="F500" s="8" t="s">
        <v>30</v>
      </c>
      <c r="G500" s="14"/>
      <c r="H500" s="10">
        <v>10.257352941176469</v>
      </c>
      <c r="I500" s="8" t="s">
        <v>54</v>
      </c>
      <c r="J500" s="8" t="s">
        <v>55</v>
      </c>
      <c r="K500" s="8"/>
      <c r="L500" s="8"/>
      <c r="M500" s="15"/>
      <c r="N500" s="13"/>
    </row>
    <row r="501" spans="1:14" ht="36" x14ac:dyDescent="0.25">
      <c r="A501" s="14" t="s">
        <v>1878</v>
      </c>
      <c r="B501" s="8" t="s">
        <v>1879</v>
      </c>
      <c r="C501" s="9">
        <v>1</v>
      </c>
      <c r="D501" s="10">
        <v>49.99</v>
      </c>
      <c r="E501" s="9" t="s">
        <v>1880</v>
      </c>
      <c r="F501" s="8" t="s">
        <v>426</v>
      </c>
      <c r="G501" s="14" t="s">
        <v>800</v>
      </c>
      <c r="H501" s="10">
        <v>9.8470588235294105</v>
      </c>
      <c r="I501" s="8" t="s">
        <v>54</v>
      </c>
      <c r="J501" s="8" t="s">
        <v>55</v>
      </c>
      <c r="K501" s="8"/>
      <c r="L501" s="8"/>
      <c r="M501" s="15"/>
      <c r="N501" s="13"/>
    </row>
    <row r="502" spans="1:14" ht="36" x14ac:dyDescent="0.25">
      <c r="A502" s="14" t="s">
        <v>578</v>
      </c>
      <c r="B502" s="8" t="s">
        <v>579</v>
      </c>
      <c r="C502" s="9">
        <v>1</v>
      </c>
      <c r="D502" s="10">
        <v>69.989999999999995</v>
      </c>
      <c r="E502" s="9" t="s">
        <v>580</v>
      </c>
      <c r="F502" s="8" t="s">
        <v>30</v>
      </c>
      <c r="G502" s="14" t="s">
        <v>46</v>
      </c>
      <c r="H502" s="10">
        <v>16.511764705882353</v>
      </c>
      <c r="I502" s="8" t="s">
        <v>101</v>
      </c>
      <c r="J502" s="8" t="s">
        <v>581</v>
      </c>
      <c r="K502" s="8" t="s">
        <v>33</v>
      </c>
      <c r="L502" s="8" t="s">
        <v>56</v>
      </c>
      <c r="M502" s="15" t="str">
        <f>HYPERLINK("http://slimages.macys.com/is/image/MCY/10975248 ")</f>
        <v xml:space="preserve">http://slimages.macys.com/is/image/MCY/10975248 </v>
      </c>
      <c r="N502" s="13"/>
    </row>
    <row r="503" spans="1:14" ht="36" x14ac:dyDescent="0.25">
      <c r="A503" s="14" t="s">
        <v>1401</v>
      </c>
      <c r="B503" s="8" t="s">
        <v>1402</v>
      </c>
      <c r="C503" s="9">
        <v>1</v>
      </c>
      <c r="D503" s="10">
        <v>24.99</v>
      </c>
      <c r="E503" s="9" t="s">
        <v>1403</v>
      </c>
      <c r="F503" s="8" t="s">
        <v>726</v>
      </c>
      <c r="G503" s="14" t="s">
        <v>800</v>
      </c>
      <c r="H503" s="10">
        <v>6.0529411764705872</v>
      </c>
      <c r="I503" s="8" t="s">
        <v>47</v>
      </c>
      <c r="J503" s="8" t="s">
        <v>1404</v>
      </c>
      <c r="K503" s="8"/>
      <c r="L503" s="8"/>
      <c r="M503" s="15" t="str">
        <f>HYPERLINK("http://slimages.macys.com/is/image/MCY/16699788 ")</f>
        <v xml:space="preserve">http://slimages.macys.com/is/image/MCY/16699788 </v>
      </c>
      <c r="N503" s="13"/>
    </row>
    <row r="504" spans="1:14" ht="48" x14ac:dyDescent="0.25">
      <c r="A504" s="14" t="s">
        <v>697</v>
      </c>
      <c r="B504" s="8" t="s">
        <v>698</v>
      </c>
      <c r="C504" s="9">
        <v>1</v>
      </c>
      <c r="D504" s="10">
        <v>49.99</v>
      </c>
      <c r="E504" s="9">
        <v>353558610</v>
      </c>
      <c r="F504" s="8" t="s">
        <v>65</v>
      </c>
      <c r="G504" s="14"/>
      <c r="H504" s="10">
        <v>12.922794117647058</v>
      </c>
      <c r="I504" s="8" t="s">
        <v>699</v>
      </c>
      <c r="J504" s="8" t="s">
        <v>700</v>
      </c>
      <c r="K504" s="8" t="s">
        <v>33</v>
      </c>
      <c r="L504" s="8" t="s">
        <v>56</v>
      </c>
      <c r="M504" s="15" t="str">
        <f>HYPERLINK("http://slimages.macys.com/is/image/MCY/2090148 ")</f>
        <v xml:space="preserve">http://slimages.macys.com/is/image/MCY/2090148 </v>
      </c>
      <c r="N504" s="13"/>
    </row>
    <row r="505" spans="1:14" ht="48" x14ac:dyDescent="0.25">
      <c r="A505" s="14" t="s">
        <v>776</v>
      </c>
      <c r="B505" s="8" t="s">
        <v>777</v>
      </c>
      <c r="C505" s="9">
        <v>1</v>
      </c>
      <c r="D505" s="10">
        <v>78.989999999999995</v>
      </c>
      <c r="E505" s="9" t="s">
        <v>778</v>
      </c>
      <c r="F505" s="8" t="s">
        <v>30</v>
      </c>
      <c r="G505" s="14"/>
      <c r="H505" s="10">
        <v>11.911764705882351</v>
      </c>
      <c r="I505" s="8" t="s">
        <v>31</v>
      </c>
      <c r="J505" s="8" t="s">
        <v>779</v>
      </c>
      <c r="K505" s="8" t="s">
        <v>33</v>
      </c>
      <c r="L505" s="8" t="s">
        <v>780</v>
      </c>
      <c r="M505" s="15" t="str">
        <f>HYPERLINK("http://slimages.macys.com/is/image/MCY/12677575 ")</f>
        <v xml:space="preserve">http://slimages.macys.com/is/image/MCY/12677575 </v>
      </c>
      <c r="N505" s="13"/>
    </row>
    <row r="506" spans="1:14" ht="60" x14ac:dyDescent="0.25">
      <c r="A506" s="14" t="s">
        <v>341</v>
      </c>
      <c r="B506" s="8" t="s">
        <v>342</v>
      </c>
      <c r="C506" s="9">
        <v>2</v>
      </c>
      <c r="D506" s="10">
        <v>119.99</v>
      </c>
      <c r="E506" s="9" t="s">
        <v>343</v>
      </c>
      <c r="F506" s="8" t="s">
        <v>85</v>
      </c>
      <c r="G506" s="14"/>
      <c r="H506" s="10">
        <v>22.976470588235294</v>
      </c>
      <c r="I506" s="8" t="s">
        <v>54</v>
      </c>
      <c r="J506" s="8" t="s">
        <v>344</v>
      </c>
      <c r="K506" s="8" t="s">
        <v>33</v>
      </c>
      <c r="L506" s="8" t="s">
        <v>214</v>
      </c>
      <c r="M506" s="15" t="str">
        <f>HYPERLINK("http://slimages.macys.com/is/image/MCY/15135444 ")</f>
        <v xml:space="preserve">http://slimages.macys.com/is/image/MCY/15135444 </v>
      </c>
      <c r="N506" s="13"/>
    </row>
    <row r="507" spans="1:14" ht="36" x14ac:dyDescent="0.25">
      <c r="A507" s="14" t="s">
        <v>491</v>
      </c>
      <c r="B507" s="8" t="s">
        <v>492</v>
      </c>
      <c r="C507" s="9">
        <v>1</v>
      </c>
      <c r="D507" s="10">
        <v>111.99</v>
      </c>
      <c r="E507" s="9" t="s">
        <v>493</v>
      </c>
      <c r="F507" s="8" t="s">
        <v>118</v>
      </c>
      <c r="G507" s="14"/>
      <c r="H507" s="10">
        <v>17.933823529411764</v>
      </c>
      <c r="I507" s="8" t="s">
        <v>31</v>
      </c>
      <c r="J507" s="8" t="s">
        <v>494</v>
      </c>
      <c r="K507" s="8" t="s">
        <v>33</v>
      </c>
      <c r="L507" s="8" t="s">
        <v>200</v>
      </c>
      <c r="M507" s="15" t="str">
        <f>HYPERLINK("http://slimages.macys.com/is/image/MCY/12302413 ")</f>
        <v xml:space="preserve">http://slimages.macys.com/is/image/MCY/12302413 </v>
      </c>
      <c r="N507" s="13"/>
    </row>
    <row r="508" spans="1:14" ht="36" x14ac:dyDescent="0.25">
      <c r="A508" s="14" t="s">
        <v>1550</v>
      </c>
      <c r="B508" s="8" t="s">
        <v>1551</v>
      </c>
      <c r="C508" s="9">
        <v>9</v>
      </c>
      <c r="D508" s="10">
        <v>17.989999999999998</v>
      </c>
      <c r="E508" s="9" t="s">
        <v>1004</v>
      </c>
      <c r="F508" s="8" t="s">
        <v>1005</v>
      </c>
      <c r="G508" s="14"/>
      <c r="H508" s="10">
        <v>4.8639705882352935</v>
      </c>
      <c r="I508" s="8" t="s">
        <v>47</v>
      </c>
      <c r="J508" s="8" t="s">
        <v>1001</v>
      </c>
      <c r="K508" s="8" t="s">
        <v>33</v>
      </c>
      <c r="L508" s="8" t="s">
        <v>200</v>
      </c>
      <c r="M508" s="15" t="str">
        <f>HYPERLINK("http://slimages.macys.com/is/image/MCY/8759583 ")</f>
        <v xml:space="preserve">http://slimages.macys.com/is/image/MCY/8759583 </v>
      </c>
      <c r="N508" s="13"/>
    </row>
    <row r="509" spans="1:14" ht="36" x14ac:dyDescent="0.25">
      <c r="A509" s="14" t="s">
        <v>999</v>
      </c>
      <c r="B509" s="8" t="s">
        <v>1000</v>
      </c>
      <c r="C509" s="9">
        <v>2</v>
      </c>
      <c r="D509" s="10">
        <v>36.99</v>
      </c>
      <c r="E509" s="9">
        <v>47373</v>
      </c>
      <c r="F509" s="8" t="s">
        <v>45</v>
      </c>
      <c r="G509" s="14"/>
      <c r="H509" s="10">
        <v>9.5220588235294112</v>
      </c>
      <c r="I509" s="8" t="s">
        <v>47</v>
      </c>
      <c r="J509" s="8" t="s">
        <v>1001</v>
      </c>
      <c r="K509" s="8" t="s">
        <v>33</v>
      </c>
      <c r="L509" s="8" t="s">
        <v>200</v>
      </c>
      <c r="M509" s="15" t="str">
        <f>HYPERLINK("http://slimages.macys.com/is/image/MCY/3208152 ")</f>
        <v xml:space="preserve">http://slimages.macys.com/is/image/MCY/3208152 </v>
      </c>
      <c r="N509" s="13"/>
    </row>
    <row r="510" spans="1:14" ht="36" x14ac:dyDescent="0.25">
      <c r="A510" s="14" t="s">
        <v>1002</v>
      </c>
      <c r="B510" s="8" t="s">
        <v>1003</v>
      </c>
      <c r="C510" s="9">
        <v>2</v>
      </c>
      <c r="D510" s="10">
        <v>17.989999999999998</v>
      </c>
      <c r="E510" s="9" t="s">
        <v>1004</v>
      </c>
      <c r="F510" s="8" t="s">
        <v>1005</v>
      </c>
      <c r="G510" s="14"/>
      <c r="H510" s="10">
        <v>9.5220588235294112</v>
      </c>
      <c r="I510" s="8" t="s">
        <v>47</v>
      </c>
      <c r="J510" s="8" t="s">
        <v>1001</v>
      </c>
      <c r="K510" s="8" t="s">
        <v>33</v>
      </c>
      <c r="L510" s="8" t="s">
        <v>200</v>
      </c>
      <c r="M510" s="15" t="str">
        <f>HYPERLINK("http://slimages.macys.com/is/image/MCY/3208152 ")</f>
        <v xml:space="preserve">http://slimages.macys.com/is/image/MCY/3208152 </v>
      </c>
      <c r="N510" s="13"/>
    </row>
    <row r="511" spans="1:14" ht="36" x14ac:dyDescent="0.25">
      <c r="A511" s="14" t="s">
        <v>1677</v>
      </c>
      <c r="B511" s="8" t="s">
        <v>1678</v>
      </c>
      <c r="C511" s="9">
        <v>5</v>
      </c>
      <c r="D511" s="10">
        <v>14.99</v>
      </c>
      <c r="E511" s="9">
        <v>46001</v>
      </c>
      <c r="F511" s="8" t="s">
        <v>45</v>
      </c>
      <c r="G511" s="14"/>
      <c r="H511" s="10">
        <v>3.9117647058823528</v>
      </c>
      <c r="I511" s="8" t="s">
        <v>47</v>
      </c>
      <c r="J511" s="8" t="s">
        <v>1001</v>
      </c>
      <c r="K511" s="8" t="s">
        <v>33</v>
      </c>
      <c r="L511" s="8"/>
      <c r="M511" s="15" t="str">
        <f>HYPERLINK("http://slimages.macys.com/is/image/MCY/8759720 ")</f>
        <v xml:space="preserve">http://slimages.macys.com/is/image/MCY/8759720 </v>
      </c>
      <c r="N511" s="13"/>
    </row>
    <row r="512" spans="1:14" ht="36" x14ac:dyDescent="0.25">
      <c r="A512" s="14" t="s">
        <v>1636</v>
      </c>
      <c r="B512" s="8" t="s">
        <v>1637</v>
      </c>
      <c r="C512" s="9">
        <v>1</v>
      </c>
      <c r="D512" s="10">
        <v>15.99</v>
      </c>
      <c r="E512" s="9" t="s">
        <v>1004</v>
      </c>
      <c r="F512" s="8" t="s">
        <v>45</v>
      </c>
      <c r="G512" s="14"/>
      <c r="H512" s="10">
        <v>4.2205882352941178</v>
      </c>
      <c r="I512" s="8" t="s">
        <v>47</v>
      </c>
      <c r="J512" s="8" t="s">
        <v>1001</v>
      </c>
      <c r="K512" s="8" t="s">
        <v>33</v>
      </c>
      <c r="L512" s="8" t="s">
        <v>200</v>
      </c>
      <c r="M512" s="15" t="str">
        <f>HYPERLINK("http://slimages.macys.com/is/image/MCY/10007760 ")</f>
        <v xml:space="preserve">http://slimages.macys.com/is/image/MCY/10007760 </v>
      </c>
      <c r="N512" s="13"/>
    </row>
    <row r="513" spans="1:14" ht="36" x14ac:dyDescent="0.25">
      <c r="A513" s="14" t="s">
        <v>1628</v>
      </c>
      <c r="B513" s="8" t="s">
        <v>1629</v>
      </c>
      <c r="C513" s="9">
        <v>1</v>
      </c>
      <c r="D513" s="10">
        <v>16.989999999999998</v>
      </c>
      <c r="E513" s="9">
        <v>44031</v>
      </c>
      <c r="F513" s="8" t="s">
        <v>45</v>
      </c>
      <c r="G513" s="14" t="s">
        <v>427</v>
      </c>
      <c r="H513" s="10">
        <v>4.2463235294117645</v>
      </c>
      <c r="I513" s="8" t="s">
        <v>47</v>
      </c>
      <c r="J513" s="8" t="s">
        <v>1001</v>
      </c>
      <c r="K513" s="8" t="s">
        <v>33</v>
      </c>
      <c r="L513" s="8" t="s">
        <v>200</v>
      </c>
      <c r="M513" s="15" t="str">
        <f>HYPERLINK("http://slimages.macys.com/is/image/MCY/10010133 ")</f>
        <v xml:space="preserve">http://slimages.macys.com/is/image/MCY/10010133 </v>
      </c>
      <c r="N513" s="13"/>
    </row>
    <row r="514" spans="1:14" ht="36" x14ac:dyDescent="0.25">
      <c r="A514" s="14" t="s">
        <v>1586</v>
      </c>
      <c r="B514" s="8" t="s">
        <v>1587</v>
      </c>
      <c r="C514" s="9">
        <v>2</v>
      </c>
      <c r="D514" s="10">
        <v>19.989999999999998</v>
      </c>
      <c r="E514" s="9">
        <v>45667</v>
      </c>
      <c r="F514" s="8" t="s">
        <v>38</v>
      </c>
      <c r="G514" s="14" t="s">
        <v>427</v>
      </c>
      <c r="H514" s="10">
        <v>4.5808823529411766</v>
      </c>
      <c r="I514" s="8" t="s">
        <v>47</v>
      </c>
      <c r="J514" s="8" t="s">
        <v>1001</v>
      </c>
      <c r="K514" s="8" t="s">
        <v>33</v>
      </c>
      <c r="L514" s="8" t="s">
        <v>200</v>
      </c>
      <c r="M514" s="15" t="str">
        <f>HYPERLINK("http://slimages.macys.com/is/image/MCY/2926322 ")</f>
        <v xml:space="preserve">http://slimages.macys.com/is/image/MCY/2926322 </v>
      </c>
      <c r="N514" s="13"/>
    </row>
    <row r="515" spans="1:14" ht="36" x14ac:dyDescent="0.25">
      <c r="A515" s="14" t="s">
        <v>1780</v>
      </c>
      <c r="B515" s="8" t="s">
        <v>1781</v>
      </c>
      <c r="C515" s="9">
        <v>2</v>
      </c>
      <c r="D515" s="10">
        <v>14.99</v>
      </c>
      <c r="E515" s="9" t="s">
        <v>1782</v>
      </c>
      <c r="F515" s="8" t="s">
        <v>118</v>
      </c>
      <c r="G515" s="14" t="s">
        <v>1783</v>
      </c>
      <c r="H515" s="10">
        <v>2.9654411764705881</v>
      </c>
      <c r="I515" s="8" t="s">
        <v>402</v>
      </c>
      <c r="J515" s="8" t="s">
        <v>1028</v>
      </c>
      <c r="K515" s="8" t="s">
        <v>33</v>
      </c>
      <c r="L515" s="8" t="s">
        <v>214</v>
      </c>
      <c r="M515" s="15" t="str">
        <f>HYPERLINK("http://slimages.macys.com/is/image/MCY/9960722 ")</f>
        <v xml:space="preserve">http://slimages.macys.com/is/image/MCY/9960722 </v>
      </c>
      <c r="N515" s="13"/>
    </row>
    <row r="516" spans="1:14" ht="36" x14ac:dyDescent="0.25">
      <c r="A516" s="14" t="s">
        <v>1864</v>
      </c>
      <c r="B516" s="8" t="s">
        <v>1865</v>
      </c>
      <c r="C516" s="9">
        <v>1</v>
      </c>
      <c r="D516" s="10">
        <v>8.99</v>
      </c>
      <c r="E516" s="9" t="s">
        <v>1866</v>
      </c>
      <c r="F516" s="8" t="s">
        <v>173</v>
      </c>
      <c r="G516" s="14" t="s">
        <v>1839</v>
      </c>
      <c r="H516" s="10">
        <v>0.99029411764705877</v>
      </c>
      <c r="I516" s="8" t="s">
        <v>699</v>
      </c>
      <c r="J516" s="8" t="s">
        <v>1028</v>
      </c>
      <c r="K516" s="8"/>
      <c r="L516" s="8"/>
      <c r="M516" s="15" t="str">
        <f>HYPERLINK("http://slimages.macys.com/is/image/MCY/16696400 ")</f>
        <v xml:space="preserve">http://slimages.macys.com/is/image/MCY/16696400 </v>
      </c>
      <c r="N516" s="13"/>
    </row>
    <row r="517" spans="1:14" ht="36" x14ac:dyDescent="0.25">
      <c r="A517" s="14" t="s">
        <v>1116</v>
      </c>
      <c r="B517" s="8" t="s">
        <v>1117</v>
      </c>
      <c r="C517" s="9">
        <v>5</v>
      </c>
      <c r="D517" s="10">
        <v>38.99</v>
      </c>
      <c r="E517" s="9" t="s">
        <v>1118</v>
      </c>
      <c r="F517" s="8" t="s">
        <v>707</v>
      </c>
      <c r="G517" s="14"/>
      <c r="H517" s="10">
        <v>8.3999999999999986</v>
      </c>
      <c r="I517" s="8" t="s">
        <v>47</v>
      </c>
      <c r="J517" s="8" t="s">
        <v>32</v>
      </c>
      <c r="K517" s="8" t="s">
        <v>33</v>
      </c>
      <c r="L517" s="8" t="s">
        <v>200</v>
      </c>
      <c r="M517" s="15" t="str">
        <f>HYPERLINK("http://slimages.macys.com/is/image/MCY/9310194 ")</f>
        <v xml:space="preserve">http://slimages.macys.com/is/image/MCY/9310194 </v>
      </c>
      <c r="N517" s="13"/>
    </row>
    <row r="518" spans="1:14" ht="36" x14ac:dyDescent="0.25">
      <c r="A518" s="14" t="s">
        <v>704</v>
      </c>
      <c r="B518" s="8" t="s">
        <v>705</v>
      </c>
      <c r="C518" s="9">
        <v>4</v>
      </c>
      <c r="D518" s="10">
        <v>58.99</v>
      </c>
      <c r="E518" s="9" t="s">
        <v>706</v>
      </c>
      <c r="F518" s="8" t="s">
        <v>707</v>
      </c>
      <c r="G518" s="14"/>
      <c r="H518" s="10">
        <v>12.805882352941175</v>
      </c>
      <c r="I518" s="8" t="s">
        <v>47</v>
      </c>
      <c r="J518" s="8" t="s">
        <v>32</v>
      </c>
      <c r="K518" s="8" t="s">
        <v>33</v>
      </c>
      <c r="L518" s="8"/>
      <c r="M518" s="15" t="str">
        <f>HYPERLINK("http://slimages.macys.com/is/image/MCY/9310185 ")</f>
        <v xml:space="preserve">http://slimages.macys.com/is/image/MCY/9310185 </v>
      </c>
      <c r="N518" s="13"/>
    </row>
    <row r="519" spans="1:14" ht="36" x14ac:dyDescent="0.25">
      <c r="A519" s="14" t="s">
        <v>1113</v>
      </c>
      <c r="B519" s="8" t="s">
        <v>1114</v>
      </c>
      <c r="C519" s="9">
        <v>2</v>
      </c>
      <c r="D519" s="10">
        <v>38.99</v>
      </c>
      <c r="E519" s="9" t="s">
        <v>1115</v>
      </c>
      <c r="F519" s="8" t="s">
        <v>355</v>
      </c>
      <c r="G519" s="14"/>
      <c r="H519" s="10">
        <v>8.3999999999999986</v>
      </c>
      <c r="I519" s="8" t="s">
        <v>47</v>
      </c>
      <c r="J519" s="8" t="s">
        <v>32</v>
      </c>
      <c r="K519" s="8" t="s">
        <v>33</v>
      </c>
      <c r="L519" s="8"/>
      <c r="M519" s="15" t="str">
        <f>HYPERLINK("http://slimages.macys.com/is/image/MCY/9310298 ")</f>
        <v xml:space="preserve">http://slimages.macys.com/is/image/MCY/9310298 </v>
      </c>
      <c r="N519" s="13"/>
    </row>
    <row r="520" spans="1:14" ht="36" x14ac:dyDescent="0.25">
      <c r="A520" s="14" t="s">
        <v>988</v>
      </c>
      <c r="B520" s="8" t="s">
        <v>989</v>
      </c>
      <c r="C520" s="9">
        <v>4</v>
      </c>
      <c r="D520" s="10">
        <v>44.99</v>
      </c>
      <c r="E520" s="9" t="s">
        <v>990</v>
      </c>
      <c r="F520" s="8" t="s">
        <v>326</v>
      </c>
      <c r="G520" s="14"/>
      <c r="H520" s="10">
        <v>9.6095588235294116</v>
      </c>
      <c r="I520" s="8" t="s">
        <v>47</v>
      </c>
      <c r="J520" s="8" t="s">
        <v>32</v>
      </c>
      <c r="K520" s="8" t="s">
        <v>33</v>
      </c>
      <c r="L520" s="8"/>
      <c r="M520" s="15" t="str">
        <f>HYPERLINK("http://slimages.macys.com/is/image/MCY/9310362 ")</f>
        <v xml:space="preserve">http://slimages.macys.com/is/image/MCY/9310362 </v>
      </c>
      <c r="N520" s="13"/>
    </row>
    <row r="521" spans="1:14" ht="36" x14ac:dyDescent="0.25">
      <c r="A521" s="14" t="s">
        <v>1119</v>
      </c>
      <c r="B521" s="8" t="s">
        <v>1120</v>
      </c>
      <c r="C521" s="9">
        <v>6</v>
      </c>
      <c r="D521" s="10">
        <v>38.99</v>
      </c>
      <c r="E521" s="9" t="s">
        <v>1121</v>
      </c>
      <c r="F521" s="8" t="s">
        <v>1122</v>
      </c>
      <c r="G521" s="14"/>
      <c r="H521" s="10">
        <v>8.3999999999999986</v>
      </c>
      <c r="I521" s="8" t="s">
        <v>47</v>
      </c>
      <c r="J521" s="8" t="s">
        <v>32</v>
      </c>
      <c r="K521" s="8" t="s">
        <v>33</v>
      </c>
      <c r="L521" s="8" t="s">
        <v>1123</v>
      </c>
      <c r="M521" s="15" t="str">
        <f>HYPERLINK("http://slimages.macys.com/is/image/MCY/9310362 ")</f>
        <v xml:space="preserve">http://slimages.macys.com/is/image/MCY/9310362 </v>
      </c>
      <c r="N521" s="13"/>
    </row>
    <row r="522" spans="1:14" ht="36" x14ac:dyDescent="0.25">
      <c r="A522" s="14" t="s">
        <v>1341</v>
      </c>
      <c r="B522" s="8" t="s">
        <v>1342</v>
      </c>
      <c r="C522" s="9">
        <v>1</v>
      </c>
      <c r="D522" s="10">
        <v>24.99</v>
      </c>
      <c r="E522" s="9" t="s">
        <v>1343</v>
      </c>
      <c r="F522" s="8" t="s">
        <v>114</v>
      </c>
      <c r="G522" s="14"/>
      <c r="H522" s="10">
        <v>6.4955882352941172</v>
      </c>
      <c r="I522" s="8" t="s">
        <v>47</v>
      </c>
      <c r="J522" s="8" t="s">
        <v>32</v>
      </c>
      <c r="K522" s="8"/>
      <c r="L522" s="8"/>
      <c r="M522" s="15" t="str">
        <f>HYPERLINK("http://slimages.macys.com/is/image/MCY/18116739 ")</f>
        <v xml:space="preserve">http://slimages.macys.com/is/image/MCY/18116739 </v>
      </c>
      <c r="N522" s="13"/>
    </row>
    <row r="523" spans="1:14" ht="36" x14ac:dyDescent="0.25">
      <c r="A523" s="14" t="s">
        <v>868</v>
      </c>
      <c r="B523" s="8" t="s">
        <v>869</v>
      </c>
      <c r="C523" s="9">
        <v>1</v>
      </c>
      <c r="D523" s="10">
        <v>50.99</v>
      </c>
      <c r="E523" s="9" t="s">
        <v>870</v>
      </c>
      <c r="F523" s="8" t="s">
        <v>118</v>
      </c>
      <c r="G523" s="14"/>
      <c r="H523" s="10">
        <v>11.066176470588236</v>
      </c>
      <c r="I523" s="8" t="s">
        <v>47</v>
      </c>
      <c r="J523" s="8" t="s">
        <v>32</v>
      </c>
      <c r="K523" s="8" t="s">
        <v>33</v>
      </c>
      <c r="L523" s="8" t="s">
        <v>200</v>
      </c>
      <c r="M523" s="15" t="str">
        <f>HYPERLINK("http://slimages.macys.com/is/image/MCY/16438553 ")</f>
        <v xml:space="preserve">http://slimages.macys.com/is/image/MCY/16438553 </v>
      </c>
      <c r="N523" s="13"/>
    </row>
    <row r="524" spans="1:14" ht="36" x14ac:dyDescent="0.25">
      <c r="A524" s="14" t="s">
        <v>871</v>
      </c>
      <c r="B524" s="8" t="s">
        <v>872</v>
      </c>
      <c r="C524" s="9">
        <v>1</v>
      </c>
      <c r="D524" s="10">
        <v>50.99</v>
      </c>
      <c r="E524" s="9" t="s">
        <v>873</v>
      </c>
      <c r="F524" s="8" t="s">
        <v>326</v>
      </c>
      <c r="G524" s="14"/>
      <c r="H524" s="10">
        <v>11.066176470588236</v>
      </c>
      <c r="I524" s="8" t="s">
        <v>47</v>
      </c>
      <c r="J524" s="8" t="s">
        <v>32</v>
      </c>
      <c r="K524" s="8" t="s">
        <v>33</v>
      </c>
      <c r="L524" s="8" t="s">
        <v>200</v>
      </c>
      <c r="M524" s="15" t="str">
        <f>HYPERLINK("http://slimages.macys.com/is/image/MCY/16438553 ")</f>
        <v xml:space="preserve">http://slimages.macys.com/is/image/MCY/16438553 </v>
      </c>
      <c r="N524" s="13"/>
    </row>
    <row r="525" spans="1:14" ht="36" x14ac:dyDescent="0.25">
      <c r="A525" s="14" t="s">
        <v>831</v>
      </c>
      <c r="B525" s="8" t="s">
        <v>832</v>
      </c>
      <c r="C525" s="9">
        <v>1</v>
      </c>
      <c r="D525" s="10">
        <v>84.99</v>
      </c>
      <c r="E525" s="9" t="s">
        <v>833</v>
      </c>
      <c r="F525" s="8" t="s">
        <v>30</v>
      </c>
      <c r="G525" s="14" t="s">
        <v>46</v>
      </c>
      <c r="H525" s="10">
        <v>11.323529411764705</v>
      </c>
      <c r="I525" s="8" t="s">
        <v>47</v>
      </c>
      <c r="J525" s="8" t="s">
        <v>834</v>
      </c>
      <c r="K525" s="8" t="s">
        <v>33</v>
      </c>
      <c r="L525" s="8" t="s">
        <v>200</v>
      </c>
      <c r="M525" s="15" t="str">
        <f>HYPERLINK("http://slimages.macys.com/is/image/MCY/11585695 ")</f>
        <v xml:space="preserve">http://slimages.macys.com/is/image/MCY/11585695 </v>
      </c>
      <c r="N525" s="13"/>
    </row>
    <row r="526" spans="1:14" ht="36" x14ac:dyDescent="0.25">
      <c r="A526" s="14" t="s">
        <v>1259</v>
      </c>
      <c r="B526" s="8" t="s">
        <v>1260</v>
      </c>
      <c r="C526" s="9">
        <v>3</v>
      </c>
      <c r="D526" s="10">
        <v>68.989999999999995</v>
      </c>
      <c r="E526" s="9" t="s">
        <v>1261</v>
      </c>
      <c r="F526" s="8" t="s">
        <v>30</v>
      </c>
      <c r="G526" s="14" t="s">
        <v>46</v>
      </c>
      <c r="H526" s="10">
        <v>7.2058823529411766</v>
      </c>
      <c r="I526" s="8" t="s">
        <v>47</v>
      </c>
      <c r="J526" s="8" t="s">
        <v>834</v>
      </c>
      <c r="K526" s="8" t="s">
        <v>33</v>
      </c>
      <c r="L526" s="8" t="s">
        <v>200</v>
      </c>
      <c r="M526" s="15" t="str">
        <f>HYPERLINK("http://slimages.macys.com/is/image/MCY/11586215 ")</f>
        <v xml:space="preserve">http://slimages.macys.com/is/image/MCY/11586215 </v>
      </c>
      <c r="N526" s="13"/>
    </row>
    <row r="527" spans="1:14" ht="36" x14ac:dyDescent="0.25">
      <c r="A527" s="14" t="s">
        <v>961</v>
      </c>
      <c r="B527" s="8" t="s">
        <v>962</v>
      </c>
      <c r="C527" s="9">
        <v>3</v>
      </c>
      <c r="D527" s="10">
        <v>102.99</v>
      </c>
      <c r="E527" s="9" t="s">
        <v>963</v>
      </c>
      <c r="F527" s="8" t="s">
        <v>123</v>
      </c>
      <c r="G527" s="14" t="s">
        <v>46</v>
      </c>
      <c r="H527" s="10">
        <v>9.7794117647058822</v>
      </c>
      <c r="I527" s="8" t="s">
        <v>47</v>
      </c>
      <c r="J527" s="8" t="s">
        <v>834</v>
      </c>
      <c r="K527" s="8" t="s">
        <v>33</v>
      </c>
      <c r="L527" s="8" t="s">
        <v>200</v>
      </c>
      <c r="M527" s="15" t="str">
        <f>HYPERLINK("http://slimages.macys.com/is/image/MCY/11586421 ")</f>
        <v xml:space="preserve">http://slimages.macys.com/is/image/MCY/11586421 </v>
      </c>
      <c r="N527" s="13"/>
    </row>
    <row r="528" spans="1:14" ht="60" x14ac:dyDescent="0.25">
      <c r="A528" s="14" t="s">
        <v>1487</v>
      </c>
      <c r="B528" s="8" t="s">
        <v>1488</v>
      </c>
      <c r="C528" s="9">
        <v>1</v>
      </c>
      <c r="D528" s="10">
        <v>29.99</v>
      </c>
      <c r="E528" s="9" t="s">
        <v>1489</v>
      </c>
      <c r="F528" s="8"/>
      <c r="G528" s="14" t="s">
        <v>1490</v>
      </c>
      <c r="H528" s="10">
        <v>5.2941176470588234</v>
      </c>
      <c r="I528" s="8" t="s">
        <v>31</v>
      </c>
      <c r="J528" s="8" t="s">
        <v>1491</v>
      </c>
      <c r="K528" s="8" t="s">
        <v>33</v>
      </c>
      <c r="L528" s="8" t="s">
        <v>1492</v>
      </c>
      <c r="M528" s="15" t="str">
        <f>HYPERLINK("http://slimages.macys.com/is/image/MCY/13845258 ")</f>
        <v xml:space="preserve">http://slimages.macys.com/is/image/MCY/13845258 </v>
      </c>
      <c r="N528" s="13"/>
    </row>
    <row r="529" spans="1:14" ht="48" x14ac:dyDescent="0.25">
      <c r="A529" s="14" t="s">
        <v>1891</v>
      </c>
      <c r="B529" s="8" t="s">
        <v>1892</v>
      </c>
      <c r="C529" s="9">
        <v>1</v>
      </c>
      <c r="D529" s="10">
        <v>26.99</v>
      </c>
      <c r="E529" s="9" t="s">
        <v>1893</v>
      </c>
      <c r="F529" s="8" t="s">
        <v>853</v>
      </c>
      <c r="G529" s="14" t="s">
        <v>1894</v>
      </c>
      <c r="H529" s="10">
        <v>4.610294117647058</v>
      </c>
      <c r="I529" s="8" t="s">
        <v>31</v>
      </c>
      <c r="J529" s="8" t="s">
        <v>1895</v>
      </c>
      <c r="K529" s="8"/>
      <c r="L529" s="8"/>
      <c r="M529" s="15"/>
      <c r="N529" s="13"/>
    </row>
    <row r="530" spans="1:14" ht="48" x14ac:dyDescent="0.25">
      <c r="A530" s="14" t="s">
        <v>1195</v>
      </c>
      <c r="B530" s="8" t="s">
        <v>1196</v>
      </c>
      <c r="C530" s="9">
        <v>1</v>
      </c>
      <c r="D530" s="10">
        <v>44.99</v>
      </c>
      <c r="E530" s="9" t="s">
        <v>1197</v>
      </c>
      <c r="F530" s="8" t="s">
        <v>30</v>
      </c>
      <c r="G530" s="14" t="s">
        <v>1198</v>
      </c>
      <c r="H530" s="10">
        <v>7.7154411764705877</v>
      </c>
      <c r="I530" s="8" t="s">
        <v>47</v>
      </c>
      <c r="J530" s="8" t="s">
        <v>1199</v>
      </c>
      <c r="K530" s="8" t="s">
        <v>33</v>
      </c>
      <c r="L530" s="8" t="s">
        <v>49</v>
      </c>
      <c r="M530" s="15" t="str">
        <f>HYPERLINK("http://slimages.macys.com/is/image/MCY/11293281 ")</f>
        <v xml:space="preserve">http://slimages.macys.com/is/image/MCY/11293281 </v>
      </c>
      <c r="N530" s="13"/>
    </row>
    <row r="531" spans="1:14" ht="60" x14ac:dyDescent="0.25">
      <c r="A531" s="14" t="s">
        <v>1192</v>
      </c>
      <c r="B531" s="8" t="s">
        <v>1193</v>
      </c>
      <c r="C531" s="9">
        <v>3</v>
      </c>
      <c r="D531" s="10">
        <v>49.99</v>
      </c>
      <c r="E531" s="9" t="s">
        <v>1194</v>
      </c>
      <c r="F531" s="8" t="s">
        <v>426</v>
      </c>
      <c r="G531" s="14" t="s">
        <v>800</v>
      </c>
      <c r="H531" s="10">
        <v>7.7205882352941169</v>
      </c>
      <c r="I531" s="8" t="s">
        <v>47</v>
      </c>
      <c r="J531" s="8" t="s">
        <v>741</v>
      </c>
      <c r="K531" s="8" t="s">
        <v>33</v>
      </c>
      <c r="L531" s="8" t="s">
        <v>41</v>
      </c>
      <c r="M531" s="15" t="str">
        <f>HYPERLINK("http://slimages.macys.com/is/image/MCY/14750590 ")</f>
        <v xml:space="preserve">http://slimages.macys.com/is/image/MCY/14750590 </v>
      </c>
      <c r="N531" s="13"/>
    </row>
    <row r="532" spans="1:14" ht="60" x14ac:dyDescent="0.25">
      <c r="A532" s="14" t="s">
        <v>1192</v>
      </c>
      <c r="B532" s="8" t="s">
        <v>1193</v>
      </c>
      <c r="C532" s="9">
        <v>1</v>
      </c>
      <c r="D532" s="10">
        <v>49.99</v>
      </c>
      <c r="E532" s="9" t="s">
        <v>1194</v>
      </c>
      <c r="F532" s="8" t="s">
        <v>426</v>
      </c>
      <c r="G532" s="14" t="s">
        <v>800</v>
      </c>
      <c r="H532" s="10">
        <v>7.7205882352941169</v>
      </c>
      <c r="I532" s="8" t="s">
        <v>47</v>
      </c>
      <c r="J532" s="8" t="s">
        <v>741</v>
      </c>
      <c r="K532" s="8" t="s">
        <v>33</v>
      </c>
      <c r="L532" s="8" t="s">
        <v>41</v>
      </c>
      <c r="M532" s="15" t="str">
        <f>HYPERLINK("http://slimages.macys.com/is/image/MCY/14750590 ")</f>
        <v xml:space="preserve">http://slimages.macys.com/is/image/MCY/14750590 </v>
      </c>
      <c r="N532" s="13"/>
    </row>
    <row r="533" spans="1:14" ht="36" x14ac:dyDescent="0.25">
      <c r="A533" s="14" t="s">
        <v>1331</v>
      </c>
      <c r="B533" s="8" t="s">
        <v>1332</v>
      </c>
      <c r="C533" s="9">
        <v>1</v>
      </c>
      <c r="D533" s="10">
        <v>49.99</v>
      </c>
      <c r="E533" s="9" t="s">
        <v>1333</v>
      </c>
      <c r="F533" s="8" t="s">
        <v>355</v>
      </c>
      <c r="G533" s="14"/>
      <c r="H533" s="10">
        <v>6.617647058823529</v>
      </c>
      <c r="I533" s="8" t="s">
        <v>54</v>
      </c>
      <c r="J533" s="8" t="s">
        <v>55</v>
      </c>
      <c r="K533" s="8" t="s">
        <v>33</v>
      </c>
      <c r="L533" s="8" t="s">
        <v>200</v>
      </c>
      <c r="M533" s="15" t="str">
        <f>HYPERLINK("http://slimages.macys.com/is/image/MCY/14750636 ")</f>
        <v xml:space="preserve">http://slimages.macys.com/is/image/MCY/14750636 </v>
      </c>
      <c r="N533" s="13"/>
    </row>
    <row r="534" spans="1:14" ht="36" x14ac:dyDescent="0.25">
      <c r="A534" s="14" t="s">
        <v>1102</v>
      </c>
      <c r="B534" s="8" t="s">
        <v>1103</v>
      </c>
      <c r="C534" s="9">
        <v>1</v>
      </c>
      <c r="D534" s="10">
        <v>39.99</v>
      </c>
      <c r="E534" s="9" t="s">
        <v>1104</v>
      </c>
      <c r="F534" s="8" t="s">
        <v>53</v>
      </c>
      <c r="G534" s="14" t="s">
        <v>1105</v>
      </c>
      <c r="H534" s="10">
        <v>8.470588235294116</v>
      </c>
      <c r="I534" s="8" t="s">
        <v>54</v>
      </c>
      <c r="J534" s="8" t="s">
        <v>55</v>
      </c>
      <c r="K534" s="8" t="s">
        <v>33</v>
      </c>
      <c r="L534" s="8"/>
      <c r="M534" s="15" t="str">
        <f>HYPERLINK("http://slimages.macys.com/is/image/MCY/10171030 ")</f>
        <v xml:space="preserve">http://slimages.macys.com/is/image/MCY/10171030 </v>
      </c>
      <c r="N534" s="13"/>
    </row>
    <row r="535" spans="1:14" ht="36" x14ac:dyDescent="0.25">
      <c r="A535" s="14" t="s">
        <v>895</v>
      </c>
      <c r="B535" s="8" t="s">
        <v>896</v>
      </c>
      <c r="C535" s="9">
        <v>4</v>
      </c>
      <c r="D535" s="10">
        <v>49.99</v>
      </c>
      <c r="E535" s="9" t="s">
        <v>897</v>
      </c>
      <c r="F535" s="8" t="s">
        <v>53</v>
      </c>
      <c r="G535" s="14"/>
      <c r="H535" s="10">
        <v>10.588235294117647</v>
      </c>
      <c r="I535" s="8" t="s">
        <v>54</v>
      </c>
      <c r="J535" s="8" t="s">
        <v>55</v>
      </c>
      <c r="K535" s="8" t="s">
        <v>33</v>
      </c>
      <c r="L535" s="8"/>
      <c r="M535" s="15" t="str">
        <f>HYPERLINK("http://slimages.macys.com/is/image/MCY/10171036 ")</f>
        <v xml:space="preserve">http://slimages.macys.com/is/image/MCY/10171036 </v>
      </c>
      <c r="N535" s="13"/>
    </row>
    <row r="536" spans="1:14" ht="60" x14ac:dyDescent="0.25">
      <c r="A536" s="14" t="s">
        <v>1204</v>
      </c>
      <c r="B536" s="8" t="s">
        <v>1205</v>
      </c>
      <c r="C536" s="9">
        <v>1</v>
      </c>
      <c r="D536" s="10">
        <v>49.99</v>
      </c>
      <c r="E536" s="9">
        <v>217307</v>
      </c>
      <c r="F536" s="8" t="s">
        <v>1206</v>
      </c>
      <c r="G536" s="14"/>
      <c r="H536" s="10">
        <v>7.6948529411764701</v>
      </c>
      <c r="I536" s="8" t="s">
        <v>47</v>
      </c>
      <c r="J536" s="8" t="s">
        <v>741</v>
      </c>
      <c r="K536" s="8" t="s">
        <v>33</v>
      </c>
      <c r="L536" s="8" t="s">
        <v>1207</v>
      </c>
      <c r="M536" s="15" t="str">
        <f>HYPERLINK("http://slimages.macys.com/is/image/MCY/3716626 ")</f>
        <v xml:space="preserve">http://slimages.macys.com/is/image/MCY/3716626 </v>
      </c>
      <c r="N536" s="13"/>
    </row>
    <row r="537" spans="1:14" ht="36" x14ac:dyDescent="0.25">
      <c r="A537" s="14" t="s">
        <v>1484</v>
      </c>
      <c r="B537" s="8" t="s">
        <v>1485</v>
      </c>
      <c r="C537" s="9">
        <v>1</v>
      </c>
      <c r="D537" s="10">
        <v>39.99</v>
      </c>
      <c r="E537" s="9">
        <v>217306</v>
      </c>
      <c r="F537" s="8" t="s">
        <v>1206</v>
      </c>
      <c r="G537" s="14"/>
      <c r="H537" s="10">
        <v>5.4176470588235297</v>
      </c>
      <c r="I537" s="8" t="s">
        <v>54</v>
      </c>
      <c r="J537" s="8" t="s">
        <v>55</v>
      </c>
      <c r="K537" s="8" t="s">
        <v>33</v>
      </c>
      <c r="L537" s="8" t="s">
        <v>1486</v>
      </c>
      <c r="M537" s="15" t="str">
        <f>HYPERLINK("http://slimages.macys.com/is/image/MCY/3716626 ")</f>
        <v xml:space="preserve">http://slimages.macys.com/is/image/MCY/3716626 </v>
      </c>
      <c r="N537" s="13"/>
    </row>
    <row r="538" spans="1:14" ht="60" x14ac:dyDescent="0.25">
      <c r="A538" s="14" t="s">
        <v>739</v>
      </c>
      <c r="B538" s="8" t="s">
        <v>740</v>
      </c>
      <c r="C538" s="9">
        <v>4</v>
      </c>
      <c r="D538" s="10">
        <v>49.99</v>
      </c>
      <c r="E538" s="9">
        <v>223521</v>
      </c>
      <c r="F538" s="8" t="s">
        <v>65</v>
      </c>
      <c r="G538" s="14"/>
      <c r="H538" s="10">
        <v>12.352941176470589</v>
      </c>
      <c r="I538" s="8" t="s">
        <v>47</v>
      </c>
      <c r="J538" s="8" t="s">
        <v>741</v>
      </c>
      <c r="K538" s="8" t="s">
        <v>33</v>
      </c>
      <c r="L538" s="8" t="s">
        <v>200</v>
      </c>
      <c r="M538" s="15" t="str">
        <f>HYPERLINK("http://slimages.macys.com/is/image/MCY/8770259 ")</f>
        <v xml:space="preserve">http://slimages.macys.com/is/image/MCY/8770259 </v>
      </c>
      <c r="N538" s="13"/>
    </row>
    <row r="539" spans="1:14" ht="60" x14ac:dyDescent="0.25">
      <c r="A539" s="14" t="s">
        <v>1189</v>
      </c>
      <c r="B539" s="8" t="s">
        <v>1190</v>
      </c>
      <c r="C539" s="9">
        <v>2</v>
      </c>
      <c r="D539" s="10">
        <v>49.99</v>
      </c>
      <c r="E539" s="9" t="s">
        <v>1191</v>
      </c>
      <c r="F539" s="8" t="s">
        <v>355</v>
      </c>
      <c r="G539" s="14"/>
      <c r="H539" s="10">
        <v>7.7205882352941169</v>
      </c>
      <c r="I539" s="8" t="s">
        <v>47</v>
      </c>
      <c r="J539" s="8" t="s">
        <v>741</v>
      </c>
      <c r="K539" s="8" t="s">
        <v>33</v>
      </c>
      <c r="L539" s="8" t="s">
        <v>214</v>
      </c>
      <c r="M539" s="15" t="str">
        <f>HYPERLINK("http://slimages.macys.com/is/image/MCY/14750584 ")</f>
        <v xml:space="preserve">http://slimages.macys.com/is/image/MCY/14750584 </v>
      </c>
      <c r="N539" s="13"/>
    </row>
    <row r="540" spans="1:14" ht="36" x14ac:dyDescent="0.25">
      <c r="A540" s="14" t="s">
        <v>1189</v>
      </c>
      <c r="B540" s="8" t="s">
        <v>1190</v>
      </c>
      <c r="C540" s="9">
        <v>1</v>
      </c>
      <c r="D540" s="10">
        <v>49.99</v>
      </c>
      <c r="E540" s="9" t="s">
        <v>1191</v>
      </c>
      <c r="F540" s="8" t="s">
        <v>355</v>
      </c>
      <c r="G540" s="14"/>
      <c r="H540" s="10">
        <v>6.617647058823529</v>
      </c>
      <c r="I540" s="8" t="s">
        <v>54</v>
      </c>
      <c r="J540" s="8" t="s">
        <v>55</v>
      </c>
      <c r="K540" s="8" t="s">
        <v>33</v>
      </c>
      <c r="L540" s="8" t="s">
        <v>214</v>
      </c>
      <c r="M540" s="15" t="str">
        <f>HYPERLINK("http://slimages.macys.com/is/image/MCY/14750584 ")</f>
        <v xml:space="preserve">http://slimages.macys.com/is/image/MCY/14750584 </v>
      </c>
      <c r="N540" s="13"/>
    </row>
    <row r="541" spans="1:14" ht="36" x14ac:dyDescent="0.25">
      <c r="A541" s="14" t="s">
        <v>898</v>
      </c>
      <c r="B541" s="8" t="s">
        <v>899</v>
      </c>
      <c r="C541" s="9">
        <v>1</v>
      </c>
      <c r="D541" s="10">
        <v>49.99</v>
      </c>
      <c r="E541" s="9" t="s">
        <v>900</v>
      </c>
      <c r="F541" s="8" t="s">
        <v>30</v>
      </c>
      <c r="G541" s="14"/>
      <c r="H541" s="10">
        <v>10.588235294117647</v>
      </c>
      <c r="I541" s="8" t="s">
        <v>54</v>
      </c>
      <c r="J541" s="8" t="s">
        <v>55</v>
      </c>
      <c r="K541" s="8" t="s">
        <v>33</v>
      </c>
      <c r="L541" s="8" t="s">
        <v>56</v>
      </c>
      <c r="M541" s="15" t="str">
        <f>HYPERLINK("http://slimages.macys.com/is/image/MCY/12948678 ")</f>
        <v xml:space="preserve">http://slimages.macys.com/is/image/MCY/12948678 </v>
      </c>
      <c r="N541" s="13"/>
    </row>
    <row r="542" spans="1:14" ht="36" x14ac:dyDescent="0.25">
      <c r="A542" s="14" t="s">
        <v>949</v>
      </c>
      <c r="B542" s="8" t="s">
        <v>950</v>
      </c>
      <c r="C542" s="9">
        <v>1</v>
      </c>
      <c r="D542" s="10">
        <v>49.99</v>
      </c>
      <c r="E542" s="9" t="s">
        <v>951</v>
      </c>
      <c r="F542" s="8" t="s">
        <v>30</v>
      </c>
      <c r="G542" s="14"/>
      <c r="H542" s="10">
        <v>9.8470588235294105</v>
      </c>
      <c r="I542" s="8" t="s">
        <v>54</v>
      </c>
      <c r="J542" s="8" t="s">
        <v>55</v>
      </c>
      <c r="K542" s="8" t="s">
        <v>33</v>
      </c>
      <c r="L542" s="8" t="s">
        <v>952</v>
      </c>
      <c r="M542" s="15" t="str">
        <f>HYPERLINK("http://slimages.macys.com/is/image/MCY/12948681 ")</f>
        <v xml:space="preserve">http://slimages.macys.com/is/image/MCY/12948681 </v>
      </c>
      <c r="N542" s="13"/>
    </row>
    <row r="543" spans="1:14" ht="36" x14ac:dyDescent="0.25">
      <c r="A543" s="14" t="s">
        <v>1156</v>
      </c>
      <c r="B543" s="8" t="s">
        <v>1157</v>
      </c>
      <c r="C543" s="9">
        <v>1</v>
      </c>
      <c r="D543" s="10">
        <v>39.99</v>
      </c>
      <c r="E543" s="9" t="s">
        <v>1158</v>
      </c>
      <c r="F543" s="8" t="s">
        <v>238</v>
      </c>
      <c r="G543" s="14" t="s">
        <v>1159</v>
      </c>
      <c r="H543" s="10">
        <v>7.879411764705881</v>
      </c>
      <c r="I543" s="8" t="s">
        <v>54</v>
      </c>
      <c r="J543" s="8" t="s">
        <v>55</v>
      </c>
      <c r="K543" s="8" t="s">
        <v>33</v>
      </c>
      <c r="L543" s="8" t="s">
        <v>56</v>
      </c>
      <c r="M543" s="15" t="str">
        <f>HYPERLINK("http://slimages.macys.com/is/image/MCY/12948568 ")</f>
        <v xml:space="preserve">http://slimages.macys.com/is/image/MCY/12948568 </v>
      </c>
      <c r="N543" s="13"/>
    </row>
    <row r="544" spans="1:14" ht="36" x14ac:dyDescent="0.25">
      <c r="A544" s="14" t="s">
        <v>50</v>
      </c>
      <c r="B544" s="8" t="s">
        <v>51</v>
      </c>
      <c r="C544" s="9">
        <v>1</v>
      </c>
      <c r="D544" s="10">
        <v>249.99</v>
      </c>
      <c r="E544" s="9" t="s">
        <v>52</v>
      </c>
      <c r="F544" s="8" t="s">
        <v>53</v>
      </c>
      <c r="G544" s="14"/>
      <c r="H544" s="10">
        <v>49.235294117647051</v>
      </c>
      <c r="I544" s="8" t="s">
        <v>54</v>
      </c>
      <c r="J544" s="8" t="s">
        <v>55</v>
      </c>
      <c r="K544" s="8" t="s">
        <v>33</v>
      </c>
      <c r="L544" s="8" t="s">
        <v>56</v>
      </c>
      <c r="M544" s="15" t="str">
        <f>HYPERLINK("http://slimages.macys.com/is/image/MCY/12948547 ")</f>
        <v xml:space="preserve">http://slimages.macys.com/is/image/MCY/12948547 </v>
      </c>
      <c r="N544" s="13"/>
    </row>
    <row r="545" spans="1:14" ht="36" x14ac:dyDescent="0.25">
      <c r="A545" s="14" t="s">
        <v>728</v>
      </c>
      <c r="B545" s="8" t="s">
        <v>729</v>
      </c>
      <c r="C545" s="9">
        <v>1</v>
      </c>
      <c r="D545" s="10">
        <v>69.989999999999995</v>
      </c>
      <c r="E545" s="9" t="s">
        <v>730</v>
      </c>
      <c r="F545" s="8"/>
      <c r="G545" s="14"/>
      <c r="H545" s="10">
        <v>12.555882352941175</v>
      </c>
      <c r="I545" s="8" t="s">
        <v>31</v>
      </c>
      <c r="J545" s="8" t="s">
        <v>494</v>
      </c>
      <c r="K545" s="8" t="s">
        <v>33</v>
      </c>
      <c r="L545" s="8" t="s">
        <v>731</v>
      </c>
      <c r="M545" s="15" t="str">
        <f>HYPERLINK("http://slimages.macys.com/is/image/MCY/8962717 ")</f>
        <v xml:space="preserve">http://slimages.macys.com/is/image/MCY/8962717 </v>
      </c>
      <c r="N545" s="13"/>
    </row>
    <row r="546" spans="1:14" ht="60" x14ac:dyDescent="0.25">
      <c r="A546" s="14" t="s">
        <v>887</v>
      </c>
      <c r="B546" s="8" t="s">
        <v>888</v>
      </c>
      <c r="C546" s="9">
        <v>1</v>
      </c>
      <c r="D546" s="10">
        <v>66.989999999999995</v>
      </c>
      <c r="E546" s="9" t="s">
        <v>889</v>
      </c>
      <c r="F546" s="8" t="s">
        <v>96</v>
      </c>
      <c r="G546" s="14"/>
      <c r="H546" s="10">
        <v>10.760294117647058</v>
      </c>
      <c r="I546" s="8" t="s">
        <v>31</v>
      </c>
      <c r="J546" s="8" t="s">
        <v>494</v>
      </c>
      <c r="K546" s="8" t="s">
        <v>33</v>
      </c>
      <c r="L546" s="8" t="s">
        <v>890</v>
      </c>
      <c r="M546" s="15" t="str">
        <f>HYPERLINK("http://slimages.macys.com/is/image/MCY/10005667 ")</f>
        <v xml:space="preserve">http://slimages.macys.com/is/image/MCY/10005667 </v>
      </c>
      <c r="N546" s="13"/>
    </row>
    <row r="547" spans="1:14" ht="60" x14ac:dyDescent="0.25">
      <c r="A547" s="14" t="s">
        <v>1059</v>
      </c>
      <c r="B547" s="8" t="s">
        <v>1060</v>
      </c>
      <c r="C547" s="9">
        <v>1</v>
      </c>
      <c r="D547" s="10">
        <v>55.99</v>
      </c>
      <c r="E547" s="9" t="s">
        <v>1061</v>
      </c>
      <c r="F547" s="8" t="s">
        <v>96</v>
      </c>
      <c r="G547" s="14"/>
      <c r="H547" s="10">
        <v>8.9691176470588232</v>
      </c>
      <c r="I547" s="8" t="s">
        <v>31</v>
      </c>
      <c r="J547" s="8" t="s">
        <v>494</v>
      </c>
      <c r="K547" s="8" t="s">
        <v>33</v>
      </c>
      <c r="L547" s="8" t="s">
        <v>890</v>
      </c>
      <c r="M547" s="15" t="str">
        <f>HYPERLINK("http://slimages.macys.com/is/image/MCY/10005667 ")</f>
        <v xml:space="preserve">http://slimages.macys.com/is/image/MCY/10005667 </v>
      </c>
      <c r="N547" s="13"/>
    </row>
    <row r="548" spans="1:14" ht="36" x14ac:dyDescent="0.25">
      <c r="A548" s="14" t="s">
        <v>1363</v>
      </c>
      <c r="B548" s="8" t="s">
        <v>1364</v>
      </c>
      <c r="C548" s="9">
        <v>1</v>
      </c>
      <c r="D548" s="10">
        <v>38.99</v>
      </c>
      <c r="E548" s="9" t="s">
        <v>1365</v>
      </c>
      <c r="F548" s="8" t="s">
        <v>96</v>
      </c>
      <c r="G548" s="14"/>
      <c r="H548" s="10">
        <v>6.2779411764705877</v>
      </c>
      <c r="I548" s="8" t="s">
        <v>31</v>
      </c>
      <c r="J548" s="8" t="s">
        <v>494</v>
      </c>
      <c r="K548" s="8" t="s">
        <v>33</v>
      </c>
      <c r="L548" s="8" t="s">
        <v>1265</v>
      </c>
      <c r="M548" s="15" t="str">
        <f>HYPERLINK("http://slimages.macys.com/is/image/MCY/10005660 ")</f>
        <v xml:space="preserve">http://slimages.macys.com/is/image/MCY/10005660 </v>
      </c>
      <c r="N548" s="13"/>
    </row>
    <row r="549" spans="1:14" ht="36" x14ac:dyDescent="0.25">
      <c r="A549" s="14" t="s">
        <v>1371</v>
      </c>
      <c r="B549" s="8" t="s">
        <v>1372</v>
      </c>
      <c r="C549" s="9">
        <v>1</v>
      </c>
      <c r="D549" s="10">
        <v>38.99</v>
      </c>
      <c r="E549" s="9" t="s">
        <v>1373</v>
      </c>
      <c r="F549" s="8" t="s">
        <v>96</v>
      </c>
      <c r="G549" s="14"/>
      <c r="H549" s="10">
        <v>6.2779411764705877</v>
      </c>
      <c r="I549" s="8" t="s">
        <v>31</v>
      </c>
      <c r="J549" s="8" t="s">
        <v>494</v>
      </c>
      <c r="K549" s="8" t="s">
        <v>33</v>
      </c>
      <c r="L549" s="8" t="s">
        <v>1265</v>
      </c>
      <c r="M549" s="15" t="str">
        <f>HYPERLINK("http://slimages.macys.com/is/image/MCY/10005660 ")</f>
        <v xml:space="preserve">http://slimages.macys.com/is/image/MCY/10005660 </v>
      </c>
      <c r="N549" s="13"/>
    </row>
    <row r="550" spans="1:14" ht="36" x14ac:dyDescent="0.25">
      <c r="A550" s="14" t="s">
        <v>1360</v>
      </c>
      <c r="B550" s="8" t="s">
        <v>1361</v>
      </c>
      <c r="C550" s="9">
        <v>1</v>
      </c>
      <c r="D550" s="10">
        <v>38.99</v>
      </c>
      <c r="E550" s="9" t="s">
        <v>1362</v>
      </c>
      <c r="F550" s="8" t="s">
        <v>96</v>
      </c>
      <c r="G550" s="14"/>
      <c r="H550" s="10">
        <v>6.2779411764705877</v>
      </c>
      <c r="I550" s="8" t="s">
        <v>31</v>
      </c>
      <c r="J550" s="8" t="s">
        <v>494</v>
      </c>
      <c r="K550" s="8" t="s">
        <v>33</v>
      </c>
      <c r="L550" s="8" t="s">
        <v>1265</v>
      </c>
      <c r="M550" s="15" t="str">
        <f>HYPERLINK("http://slimages.macys.com/is/image/MCY/10005660 ")</f>
        <v xml:space="preserve">http://slimages.macys.com/is/image/MCY/10005660 </v>
      </c>
      <c r="N550" s="13"/>
    </row>
    <row r="551" spans="1:14" ht="36" x14ac:dyDescent="0.25">
      <c r="A551" s="14" t="s">
        <v>1266</v>
      </c>
      <c r="B551" s="8" t="s">
        <v>1267</v>
      </c>
      <c r="C551" s="9">
        <v>1</v>
      </c>
      <c r="D551" s="10">
        <v>44.99</v>
      </c>
      <c r="E551" s="9" t="s">
        <v>1268</v>
      </c>
      <c r="F551" s="8" t="s">
        <v>96</v>
      </c>
      <c r="G551" s="14"/>
      <c r="H551" s="10">
        <v>7.1735294117647053</v>
      </c>
      <c r="I551" s="8" t="s">
        <v>31</v>
      </c>
      <c r="J551" s="8" t="s">
        <v>494</v>
      </c>
      <c r="K551" s="8" t="s">
        <v>33</v>
      </c>
      <c r="L551" s="8" t="s">
        <v>1265</v>
      </c>
      <c r="M551" s="15" t="str">
        <f>HYPERLINK("http://slimages.macys.com/is/image/MCY/10005660 ")</f>
        <v xml:space="preserve">http://slimages.macys.com/is/image/MCY/10005660 </v>
      </c>
      <c r="N551" s="13"/>
    </row>
    <row r="552" spans="1:14" ht="36" x14ac:dyDescent="0.25">
      <c r="A552" s="14" t="s">
        <v>1262</v>
      </c>
      <c r="B552" s="8" t="s">
        <v>1263</v>
      </c>
      <c r="C552" s="9">
        <v>1</v>
      </c>
      <c r="D552" s="10">
        <v>44.99</v>
      </c>
      <c r="E552" s="9" t="s">
        <v>1264</v>
      </c>
      <c r="F552" s="8" t="s">
        <v>96</v>
      </c>
      <c r="G552" s="14"/>
      <c r="H552" s="10">
        <v>7.1735294117647053</v>
      </c>
      <c r="I552" s="8" t="s">
        <v>31</v>
      </c>
      <c r="J552" s="8" t="s">
        <v>494</v>
      </c>
      <c r="K552" s="8" t="s">
        <v>33</v>
      </c>
      <c r="L552" s="8" t="s">
        <v>1265</v>
      </c>
      <c r="M552" s="15" t="str">
        <f>HYPERLINK("http://slimages.macys.com/is/image/MCY/10005660 ")</f>
        <v xml:space="preserve">http://slimages.macys.com/is/image/MCY/10005660 </v>
      </c>
      <c r="N552" s="13"/>
    </row>
    <row r="553" spans="1:14" ht="36" x14ac:dyDescent="0.25">
      <c r="A553" s="14" t="s">
        <v>1591</v>
      </c>
      <c r="B553" s="8" t="s">
        <v>1592</v>
      </c>
      <c r="C553" s="9">
        <v>1</v>
      </c>
      <c r="D553" s="10">
        <v>24.99</v>
      </c>
      <c r="E553" s="9" t="s">
        <v>1593</v>
      </c>
      <c r="F553" s="8" t="s">
        <v>96</v>
      </c>
      <c r="G553" s="14"/>
      <c r="H553" s="10">
        <v>4.5220588235294121</v>
      </c>
      <c r="I553" s="8" t="s">
        <v>555</v>
      </c>
      <c r="J553" s="8" t="s">
        <v>494</v>
      </c>
      <c r="K553" s="8" t="s">
        <v>33</v>
      </c>
      <c r="L553" s="8" t="s">
        <v>49</v>
      </c>
      <c r="M553" s="15" t="str">
        <f>HYPERLINK("http://slimages.macys.com/is/image/MCY/9975011 ")</f>
        <v xml:space="preserve">http://slimages.macys.com/is/image/MCY/9975011 </v>
      </c>
      <c r="N553" s="13"/>
    </row>
    <row r="554" spans="1:14" ht="72" x14ac:dyDescent="0.25">
      <c r="A554" s="14" t="s">
        <v>732</v>
      </c>
      <c r="B554" s="8" t="s">
        <v>733</v>
      </c>
      <c r="C554" s="9">
        <v>1</v>
      </c>
      <c r="D554" s="10">
        <v>77.989999999999995</v>
      </c>
      <c r="E554" s="9" t="s">
        <v>734</v>
      </c>
      <c r="F554" s="8" t="s">
        <v>96</v>
      </c>
      <c r="G554" s="14"/>
      <c r="H554" s="10">
        <v>12.555882352941175</v>
      </c>
      <c r="I554" s="8" t="s">
        <v>31</v>
      </c>
      <c r="J554" s="8" t="s">
        <v>494</v>
      </c>
      <c r="K554" s="8" t="s">
        <v>33</v>
      </c>
      <c r="L554" s="8" t="s">
        <v>735</v>
      </c>
      <c r="M554" s="15" t="str">
        <f>HYPERLINK("http://slimages.macys.com/is/image/MCY/10005647 ")</f>
        <v xml:space="preserve">http://slimages.macys.com/is/image/MCY/10005647 </v>
      </c>
      <c r="N554" s="13"/>
    </row>
    <row r="555" spans="1:14" ht="36" x14ac:dyDescent="0.25">
      <c r="A555" s="14" t="s">
        <v>628</v>
      </c>
      <c r="B555" s="8" t="s">
        <v>629</v>
      </c>
      <c r="C555" s="9">
        <v>1</v>
      </c>
      <c r="D555" s="10">
        <v>88.99</v>
      </c>
      <c r="E555" s="9" t="s">
        <v>630</v>
      </c>
      <c r="F555" s="8" t="s">
        <v>96</v>
      </c>
      <c r="G555" s="14"/>
      <c r="H555" s="10">
        <v>14.347058823529411</v>
      </c>
      <c r="I555" s="8" t="s">
        <v>31</v>
      </c>
      <c r="J555" s="8" t="s">
        <v>494</v>
      </c>
      <c r="K555" s="8" t="s">
        <v>33</v>
      </c>
      <c r="L555" s="8" t="s">
        <v>631</v>
      </c>
      <c r="M555" s="15" t="str">
        <f>HYPERLINK("http://slimages.macys.com/is/image/MCY/10005647 ")</f>
        <v xml:space="preserve">http://slimages.macys.com/is/image/MCY/10005647 </v>
      </c>
      <c r="N555" s="13"/>
    </row>
    <row r="556" spans="1:14" ht="60" x14ac:dyDescent="0.25">
      <c r="A556" s="14" t="s">
        <v>1652</v>
      </c>
      <c r="B556" s="8" t="s">
        <v>1653</v>
      </c>
      <c r="C556" s="9">
        <v>2</v>
      </c>
      <c r="D556" s="10">
        <v>22.99</v>
      </c>
      <c r="E556" s="9" t="s">
        <v>1654</v>
      </c>
      <c r="F556" s="8" t="s">
        <v>38</v>
      </c>
      <c r="G556" s="14"/>
      <c r="H556" s="10">
        <v>4.0404411764705879</v>
      </c>
      <c r="I556" s="8" t="s">
        <v>47</v>
      </c>
      <c r="J556" s="8" t="s">
        <v>1655</v>
      </c>
      <c r="K556" s="8" t="s">
        <v>33</v>
      </c>
      <c r="L556" s="8" t="s">
        <v>1347</v>
      </c>
      <c r="M556" s="15" t="str">
        <f>HYPERLINK("http://slimages.macys.com/is/image/MCY/13989503 ")</f>
        <v xml:space="preserve">http://slimages.macys.com/is/image/MCY/13989503 </v>
      </c>
      <c r="N556" s="13"/>
    </row>
    <row r="557" spans="1:14" ht="36" x14ac:dyDescent="0.25">
      <c r="A557" s="14" t="s">
        <v>251</v>
      </c>
      <c r="B557" s="8" t="s">
        <v>252</v>
      </c>
      <c r="C557" s="9">
        <v>1</v>
      </c>
      <c r="D557" s="10">
        <v>162.99</v>
      </c>
      <c r="E557" s="9" t="s">
        <v>253</v>
      </c>
      <c r="F557" s="8"/>
      <c r="G557" s="14"/>
      <c r="H557" s="10">
        <v>25.897058823529409</v>
      </c>
      <c r="I557" s="8" t="s">
        <v>31</v>
      </c>
      <c r="J557" s="8" t="s">
        <v>32</v>
      </c>
      <c r="K557" s="8" t="s">
        <v>33</v>
      </c>
      <c r="L557" s="8" t="s">
        <v>254</v>
      </c>
      <c r="M557" s="15" t="str">
        <f>HYPERLINK("http://slimages.macys.com/is/image/MCY/11825310 ")</f>
        <v xml:space="preserve">http://slimages.macys.com/is/image/MCY/11825310 </v>
      </c>
      <c r="N557" s="13"/>
    </row>
    <row r="558" spans="1:14" ht="72" x14ac:dyDescent="0.25">
      <c r="A558" s="14" t="s">
        <v>466</v>
      </c>
      <c r="B558" s="8" t="s">
        <v>467</v>
      </c>
      <c r="C558" s="9">
        <v>1</v>
      </c>
      <c r="D558" s="10">
        <v>99.99</v>
      </c>
      <c r="E558" s="9" t="s">
        <v>468</v>
      </c>
      <c r="F558" s="8" t="s">
        <v>469</v>
      </c>
      <c r="G558" s="14"/>
      <c r="H558" s="10">
        <v>19.226470588235294</v>
      </c>
      <c r="I558" s="8" t="s">
        <v>31</v>
      </c>
      <c r="J558" s="8" t="s">
        <v>32</v>
      </c>
      <c r="K558" s="8" t="s">
        <v>33</v>
      </c>
      <c r="L558" s="8" t="s">
        <v>470</v>
      </c>
      <c r="M558" s="15" t="str">
        <f>HYPERLINK("http://slimages.macys.com/is/image/MCY/9191510 ")</f>
        <v xml:space="preserve">http://slimages.macys.com/is/image/MCY/9191510 </v>
      </c>
      <c r="N558" s="13"/>
    </row>
    <row r="559" spans="1:14" ht="36" x14ac:dyDescent="0.25">
      <c r="A559" s="14" t="s">
        <v>1208</v>
      </c>
      <c r="B559" s="8" t="s">
        <v>1209</v>
      </c>
      <c r="C559" s="9">
        <v>1</v>
      </c>
      <c r="D559" s="10">
        <v>29.99</v>
      </c>
      <c r="E559" s="9" t="s">
        <v>1210</v>
      </c>
      <c r="F559" s="8" t="s">
        <v>118</v>
      </c>
      <c r="G559" s="14" t="s">
        <v>695</v>
      </c>
      <c r="H559" s="10">
        <v>7.6948529411764701</v>
      </c>
      <c r="I559" s="8" t="s">
        <v>47</v>
      </c>
      <c r="J559" s="8" t="s">
        <v>32</v>
      </c>
      <c r="K559" s="8" t="s">
        <v>33</v>
      </c>
      <c r="L559" s="8" t="s">
        <v>1211</v>
      </c>
      <c r="M559" s="15" t="str">
        <f>HYPERLINK("http://slimages.macys.com/is/image/MCY/8064927 ")</f>
        <v xml:space="preserve">http://slimages.macys.com/is/image/MCY/8064927 </v>
      </c>
      <c r="N559" s="13"/>
    </row>
    <row r="560" spans="1:14" ht="60" x14ac:dyDescent="0.25">
      <c r="A560" s="14" t="s">
        <v>600</v>
      </c>
      <c r="B560" s="8" t="s">
        <v>601</v>
      </c>
      <c r="C560" s="9">
        <v>1</v>
      </c>
      <c r="D560" s="10">
        <v>169.99</v>
      </c>
      <c r="E560" s="9" t="s">
        <v>602</v>
      </c>
      <c r="F560" s="8" t="s">
        <v>30</v>
      </c>
      <c r="G560" s="14"/>
      <c r="H560" s="10">
        <v>15.966176470588232</v>
      </c>
      <c r="I560" s="8" t="s">
        <v>31</v>
      </c>
      <c r="J560" s="8" t="s">
        <v>32</v>
      </c>
      <c r="K560" s="8" t="s">
        <v>33</v>
      </c>
      <c r="L560" s="8" t="s">
        <v>603</v>
      </c>
      <c r="M560" s="15" t="str">
        <f>HYPERLINK("http://slimages.macys.com/is/image/MCY/9930120 ")</f>
        <v xml:space="preserve">http://slimages.macys.com/is/image/MCY/9930120 </v>
      </c>
      <c r="N560" s="13"/>
    </row>
    <row r="561" spans="1:14" ht="60" x14ac:dyDescent="0.25">
      <c r="A561" s="14" t="s">
        <v>600</v>
      </c>
      <c r="B561" s="8" t="s">
        <v>601</v>
      </c>
      <c r="C561" s="9">
        <v>1</v>
      </c>
      <c r="D561" s="10">
        <v>169.99</v>
      </c>
      <c r="E561" s="9" t="s">
        <v>602</v>
      </c>
      <c r="F561" s="8" t="s">
        <v>30</v>
      </c>
      <c r="G561" s="14"/>
      <c r="H561" s="10">
        <v>15.966176470588232</v>
      </c>
      <c r="I561" s="8" t="s">
        <v>31</v>
      </c>
      <c r="J561" s="8" t="s">
        <v>32</v>
      </c>
      <c r="K561" s="8" t="s">
        <v>33</v>
      </c>
      <c r="L561" s="8" t="s">
        <v>603</v>
      </c>
      <c r="M561" s="15" t="str">
        <f>HYPERLINK("http://slimages.macys.com/is/image/MCY/9930120 ")</f>
        <v xml:space="preserve">http://slimages.macys.com/is/image/MCY/9930120 </v>
      </c>
      <c r="N561" s="13"/>
    </row>
    <row r="562" spans="1:14" ht="36" x14ac:dyDescent="0.25">
      <c r="A562" s="14" t="s">
        <v>93</v>
      </c>
      <c r="B562" s="8" t="s">
        <v>94</v>
      </c>
      <c r="C562" s="9">
        <v>1</v>
      </c>
      <c r="D562" s="10">
        <v>197.99</v>
      </c>
      <c r="E562" s="9" t="s">
        <v>95</v>
      </c>
      <c r="F562" s="8" t="s">
        <v>96</v>
      </c>
      <c r="G562" s="14"/>
      <c r="H562" s="10">
        <v>38.594117647058823</v>
      </c>
      <c r="I562" s="8" t="s">
        <v>31</v>
      </c>
      <c r="J562" s="8" t="s">
        <v>32</v>
      </c>
      <c r="K562" s="8" t="s">
        <v>33</v>
      </c>
      <c r="L562" s="8" t="s">
        <v>97</v>
      </c>
      <c r="M562" s="15" t="str">
        <f>HYPERLINK("http://slimages.macys.com/is/image/MCY/16484487 ")</f>
        <v xml:space="preserve">http://slimages.macys.com/is/image/MCY/16484487 </v>
      </c>
      <c r="N562" s="13"/>
    </row>
    <row r="563" spans="1:14" ht="24" x14ac:dyDescent="0.25">
      <c r="A563" s="14" t="s">
        <v>1872</v>
      </c>
      <c r="B563" s="8" t="s">
        <v>1873</v>
      </c>
      <c r="C563" s="9">
        <v>1</v>
      </c>
      <c r="D563" s="10">
        <v>170.99</v>
      </c>
      <c r="E563" s="9" t="s">
        <v>1874</v>
      </c>
      <c r="F563" s="8" t="s">
        <v>38</v>
      </c>
      <c r="G563" s="14"/>
      <c r="H563" s="10">
        <v>31.464705882352941</v>
      </c>
      <c r="I563" s="8" t="s">
        <v>31</v>
      </c>
      <c r="J563" s="8" t="s">
        <v>32</v>
      </c>
      <c r="K563" s="8"/>
      <c r="L563" s="8"/>
      <c r="M563" s="15"/>
      <c r="N563" s="13"/>
    </row>
    <row r="564" spans="1:14" ht="48" x14ac:dyDescent="0.25">
      <c r="A564" s="14" t="s">
        <v>129</v>
      </c>
      <c r="B564" s="8" t="s">
        <v>130</v>
      </c>
      <c r="C564" s="9">
        <v>1</v>
      </c>
      <c r="D564" s="10">
        <v>143.99</v>
      </c>
      <c r="E564" s="9" t="s">
        <v>131</v>
      </c>
      <c r="F564" s="8" t="s">
        <v>132</v>
      </c>
      <c r="G564" s="14"/>
      <c r="H564" s="10">
        <v>35.349999999999994</v>
      </c>
      <c r="I564" s="8" t="s">
        <v>47</v>
      </c>
      <c r="J564" s="8" t="s">
        <v>32</v>
      </c>
      <c r="K564" s="8" t="s">
        <v>33</v>
      </c>
      <c r="L564" s="8" t="s">
        <v>133</v>
      </c>
      <c r="M564" s="15" t="str">
        <f>HYPERLINK("http://slimages.macys.com/is/image/MCY/11113534 ")</f>
        <v xml:space="preserve">http://slimages.macys.com/is/image/MCY/11113534 </v>
      </c>
      <c r="N564" s="13"/>
    </row>
    <row r="565" spans="1:14" ht="72" x14ac:dyDescent="0.25">
      <c r="A565" s="14" t="s">
        <v>640</v>
      </c>
      <c r="B565" s="8" t="s">
        <v>641</v>
      </c>
      <c r="C565" s="9">
        <v>1</v>
      </c>
      <c r="D565" s="10">
        <v>125.99</v>
      </c>
      <c r="E565" s="9" t="s">
        <v>642</v>
      </c>
      <c r="F565" s="8" t="s">
        <v>38</v>
      </c>
      <c r="G565" s="14"/>
      <c r="H565" s="10">
        <v>13.66764705882353</v>
      </c>
      <c r="I565" s="8" t="s">
        <v>31</v>
      </c>
      <c r="J565" s="8" t="s">
        <v>32</v>
      </c>
      <c r="K565" s="8" t="s">
        <v>33</v>
      </c>
      <c r="L565" s="8" t="s">
        <v>643</v>
      </c>
      <c r="M565" s="15" t="str">
        <f>HYPERLINK("http://slimages.macys.com/is/image/MCY/11113952 ")</f>
        <v xml:space="preserve">http://slimages.macys.com/is/image/MCY/11113952 </v>
      </c>
      <c r="N565" s="13"/>
    </row>
    <row r="566" spans="1:14" ht="36" x14ac:dyDescent="0.25">
      <c r="A566" s="14" t="s">
        <v>1344</v>
      </c>
      <c r="B566" s="8" t="s">
        <v>1345</v>
      </c>
      <c r="C566" s="9">
        <v>2</v>
      </c>
      <c r="D566" s="10">
        <v>22.99</v>
      </c>
      <c r="E566" s="9" t="s">
        <v>1346</v>
      </c>
      <c r="F566" s="8" t="s">
        <v>148</v>
      </c>
      <c r="G566" s="14"/>
      <c r="H566" s="10">
        <v>6.4097058823529407</v>
      </c>
      <c r="I566" s="8" t="s">
        <v>402</v>
      </c>
      <c r="J566" s="8" t="s">
        <v>609</v>
      </c>
      <c r="K566" s="8" t="s">
        <v>33</v>
      </c>
      <c r="L566" s="8" t="s">
        <v>1347</v>
      </c>
      <c r="M566" s="15" t="str">
        <f>HYPERLINK("http://slimages.macys.com/is/image/MCY/13533939 ")</f>
        <v xml:space="preserve">http://slimages.macys.com/is/image/MCY/13533939 </v>
      </c>
      <c r="N566" s="13"/>
    </row>
    <row r="567" spans="1:14" ht="36" x14ac:dyDescent="0.25">
      <c r="A567" s="14" t="s">
        <v>1348</v>
      </c>
      <c r="B567" s="8" t="s">
        <v>1349</v>
      </c>
      <c r="C567" s="9">
        <v>3</v>
      </c>
      <c r="D567" s="10">
        <v>22.99</v>
      </c>
      <c r="E567" s="9" t="s">
        <v>1350</v>
      </c>
      <c r="F567" s="8" t="s">
        <v>38</v>
      </c>
      <c r="G567" s="14"/>
      <c r="H567" s="10">
        <v>6.4097058823529407</v>
      </c>
      <c r="I567" s="8" t="s">
        <v>402</v>
      </c>
      <c r="J567" s="8" t="s">
        <v>609</v>
      </c>
      <c r="K567" s="8" t="s">
        <v>33</v>
      </c>
      <c r="L567" s="8" t="s">
        <v>1347</v>
      </c>
      <c r="M567" s="15" t="str">
        <f>HYPERLINK("http://slimages.macys.com/is/image/MCY/13533939 ")</f>
        <v xml:space="preserve">http://slimages.macys.com/is/image/MCY/13533939 </v>
      </c>
      <c r="N567" s="13"/>
    </row>
    <row r="568" spans="1:14" ht="48" x14ac:dyDescent="0.25">
      <c r="A568" s="14" t="s">
        <v>1337</v>
      </c>
      <c r="B568" s="8" t="s">
        <v>1338</v>
      </c>
      <c r="C568" s="9">
        <v>1</v>
      </c>
      <c r="D568" s="10">
        <v>33.99</v>
      </c>
      <c r="E568" s="9" t="s">
        <v>1339</v>
      </c>
      <c r="F568" s="8" t="s">
        <v>426</v>
      </c>
      <c r="G568" s="14"/>
      <c r="H568" s="10">
        <v>6.5470588235294116</v>
      </c>
      <c r="I568" s="8" t="s">
        <v>47</v>
      </c>
      <c r="J568" s="8" t="s">
        <v>1043</v>
      </c>
      <c r="K568" s="8" t="s">
        <v>33</v>
      </c>
      <c r="L568" s="8" t="s">
        <v>1340</v>
      </c>
      <c r="M568" s="15" t="str">
        <f>HYPERLINK("http://slimages.macys.com/is/image/MCY/13533564 ")</f>
        <v xml:space="preserve">http://slimages.macys.com/is/image/MCY/13533564 </v>
      </c>
      <c r="N568" s="13"/>
    </row>
    <row r="569" spans="1:14" ht="36" x14ac:dyDescent="0.25">
      <c r="A569" s="14" t="s">
        <v>847</v>
      </c>
      <c r="B569" s="8" t="s">
        <v>848</v>
      </c>
      <c r="C569" s="9">
        <v>1</v>
      </c>
      <c r="D569" s="10">
        <v>64.989999999999995</v>
      </c>
      <c r="E569" s="9" t="s">
        <v>849</v>
      </c>
      <c r="F569" s="8" t="s">
        <v>148</v>
      </c>
      <c r="G569" s="14"/>
      <c r="H569" s="10">
        <v>11.148529411764706</v>
      </c>
      <c r="I569" s="8" t="s">
        <v>31</v>
      </c>
      <c r="J569" s="8" t="s">
        <v>609</v>
      </c>
      <c r="K569" s="8" t="s">
        <v>33</v>
      </c>
      <c r="L569" s="8" t="s">
        <v>200</v>
      </c>
      <c r="M569" s="15" t="str">
        <f>HYPERLINK("http://slimages.macys.com/is/image/MCY/10290998 ")</f>
        <v xml:space="preserve">http://slimages.macys.com/is/image/MCY/10290998 </v>
      </c>
      <c r="N569" s="13"/>
    </row>
    <row r="570" spans="1:14" ht="36" x14ac:dyDescent="0.25">
      <c r="A570" s="14" t="s">
        <v>943</v>
      </c>
      <c r="B570" s="8" t="s">
        <v>944</v>
      </c>
      <c r="C570" s="9">
        <v>2</v>
      </c>
      <c r="D570" s="10">
        <v>57.99</v>
      </c>
      <c r="E570" s="9" t="s">
        <v>945</v>
      </c>
      <c r="F570" s="8" t="s">
        <v>38</v>
      </c>
      <c r="G570" s="14"/>
      <c r="H570" s="10">
        <v>9.9397058823529409</v>
      </c>
      <c r="I570" s="8" t="s">
        <v>31</v>
      </c>
      <c r="J570" s="8" t="s">
        <v>609</v>
      </c>
      <c r="K570" s="8" t="s">
        <v>33</v>
      </c>
      <c r="L570" s="8" t="s">
        <v>200</v>
      </c>
      <c r="M570" s="15" t="str">
        <f>HYPERLINK("http://slimages.macys.com/is/image/MCY/10290998 ")</f>
        <v xml:space="preserve">http://slimages.macys.com/is/image/MCY/10290998 </v>
      </c>
      <c r="N570" s="13"/>
    </row>
    <row r="571" spans="1:14" ht="36" x14ac:dyDescent="0.25">
      <c r="A571" s="14" t="s">
        <v>981</v>
      </c>
      <c r="B571" s="8" t="s">
        <v>982</v>
      </c>
      <c r="C571" s="9">
        <v>1</v>
      </c>
      <c r="D571" s="10">
        <v>57.99</v>
      </c>
      <c r="E571" s="9" t="s">
        <v>983</v>
      </c>
      <c r="F571" s="8" t="s">
        <v>30</v>
      </c>
      <c r="G571" s="14"/>
      <c r="H571" s="10">
        <v>9.6397058823529402</v>
      </c>
      <c r="I571" s="8" t="s">
        <v>31</v>
      </c>
      <c r="J571" s="8" t="s">
        <v>609</v>
      </c>
      <c r="K571" s="8" t="s">
        <v>33</v>
      </c>
      <c r="L571" s="8" t="s">
        <v>200</v>
      </c>
      <c r="M571" s="15" t="str">
        <f>HYPERLINK("http://slimages.macys.com/is/image/MCY/10290998 ")</f>
        <v xml:space="preserve">http://slimages.macys.com/is/image/MCY/10290998 </v>
      </c>
      <c r="N571" s="13"/>
    </row>
    <row r="572" spans="1:14" ht="36" x14ac:dyDescent="0.25">
      <c r="A572" s="14" t="s">
        <v>981</v>
      </c>
      <c r="B572" s="8" t="s">
        <v>982</v>
      </c>
      <c r="C572" s="9">
        <v>1</v>
      </c>
      <c r="D572" s="10">
        <v>57.99</v>
      </c>
      <c r="E572" s="9" t="s">
        <v>983</v>
      </c>
      <c r="F572" s="8" t="s">
        <v>30</v>
      </c>
      <c r="G572" s="14"/>
      <c r="H572" s="10">
        <v>9.6397058823529402</v>
      </c>
      <c r="I572" s="8" t="s">
        <v>31</v>
      </c>
      <c r="J572" s="8" t="s">
        <v>609</v>
      </c>
      <c r="K572" s="8" t="s">
        <v>33</v>
      </c>
      <c r="L572" s="8" t="s">
        <v>200</v>
      </c>
      <c r="M572" s="15" t="str">
        <f>HYPERLINK("http://slimages.macys.com/is/image/MCY/10290998 ")</f>
        <v xml:space="preserve">http://slimages.macys.com/is/image/MCY/10290998 </v>
      </c>
      <c r="N572" s="13"/>
    </row>
    <row r="573" spans="1:14" ht="36" x14ac:dyDescent="0.25">
      <c r="A573" s="14" t="s">
        <v>981</v>
      </c>
      <c r="B573" s="8" t="s">
        <v>982</v>
      </c>
      <c r="C573" s="9">
        <v>1</v>
      </c>
      <c r="D573" s="10">
        <v>57.99</v>
      </c>
      <c r="E573" s="9" t="s">
        <v>983</v>
      </c>
      <c r="F573" s="8" t="s">
        <v>30</v>
      </c>
      <c r="G573" s="14"/>
      <c r="H573" s="10">
        <v>9.6397058823529402</v>
      </c>
      <c r="I573" s="8" t="s">
        <v>31</v>
      </c>
      <c r="J573" s="8" t="s">
        <v>609</v>
      </c>
      <c r="K573" s="8" t="s">
        <v>33</v>
      </c>
      <c r="L573" s="8" t="s">
        <v>200</v>
      </c>
      <c r="M573" s="15" t="str">
        <f>HYPERLINK("http://slimages.macys.com/is/image/MCY/10290998 ")</f>
        <v xml:space="preserve">http://slimages.macys.com/is/image/MCY/10290998 </v>
      </c>
      <c r="N573" s="13"/>
    </row>
    <row r="574" spans="1:14" ht="48" x14ac:dyDescent="0.25">
      <c r="A574" s="14" t="s">
        <v>1040</v>
      </c>
      <c r="B574" s="8" t="s">
        <v>1041</v>
      </c>
      <c r="C574" s="9">
        <v>1</v>
      </c>
      <c r="D574" s="10">
        <v>46.99</v>
      </c>
      <c r="E574" s="9" t="s">
        <v>1042</v>
      </c>
      <c r="F574" s="8" t="s">
        <v>38</v>
      </c>
      <c r="G574" s="14"/>
      <c r="H574" s="10">
        <v>9.1720588235294116</v>
      </c>
      <c r="I574" s="8" t="s">
        <v>47</v>
      </c>
      <c r="J574" s="8" t="s">
        <v>1043</v>
      </c>
      <c r="K574" s="8" t="s">
        <v>33</v>
      </c>
      <c r="L574" s="8" t="s">
        <v>661</v>
      </c>
      <c r="M574" s="15" t="str">
        <f>HYPERLINK("http://slimages.macys.com/is/image/MCY/13534538 ")</f>
        <v xml:space="preserve">http://slimages.macys.com/is/image/MCY/13534538 </v>
      </c>
      <c r="N574" s="13"/>
    </row>
    <row r="575" spans="1:14" ht="36" x14ac:dyDescent="0.25">
      <c r="A575" s="14" t="s">
        <v>606</v>
      </c>
      <c r="B575" s="8" t="s">
        <v>607</v>
      </c>
      <c r="C575" s="9">
        <v>1</v>
      </c>
      <c r="D575" s="10">
        <v>87.99</v>
      </c>
      <c r="E575" s="9" t="s">
        <v>608</v>
      </c>
      <c r="F575" s="8" t="s">
        <v>30</v>
      </c>
      <c r="G575" s="14" t="s">
        <v>60</v>
      </c>
      <c r="H575" s="10">
        <v>15.45</v>
      </c>
      <c r="I575" s="8" t="s">
        <v>31</v>
      </c>
      <c r="J575" s="8" t="s">
        <v>609</v>
      </c>
      <c r="K575" s="8"/>
      <c r="L575" s="8"/>
      <c r="M575" s="15" t="str">
        <f>HYPERLINK("http://slimages.macys.com/is/image/MCY/18528488 ")</f>
        <v xml:space="preserve">http://slimages.macys.com/is/image/MCY/18528488 </v>
      </c>
      <c r="N575" s="13"/>
    </row>
    <row r="576" spans="1:14" ht="48" x14ac:dyDescent="0.25">
      <c r="A576" s="14" t="s">
        <v>1062</v>
      </c>
      <c r="B576" s="8" t="s">
        <v>1063</v>
      </c>
      <c r="C576" s="9">
        <v>1</v>
      </c>
      <c r="D576" s="10">
        <v>45.99</v>
      </c>
      <c r="E576" s="9" t="s">
        <v>1064</v>
      </c>
      <c r="F576" s="8" t="s">
        <v>148</v>
      </c>
      <c r="G576" s="14"/>
      <c r="H576" s="10">
        <v>8.930147058823529</v>
      </c>
      <c r="I576" s="8" t="s">
        <v>47</v>
      </c>
      <c r="J576" s="8" t="s">
        <v>1043</v>
      </c>
      <c r="K576" s="8" t="s">
        <v>33</v>
      </c>
      <c r="L576" s="8" t="s">
        <v>1065</v>
      </c>
      <c r="M576" s="15" t="str">
        <f>HYPERLINK("http://slimages.macys.com/is/image/MCY/13534470 ")</f>
        <v xml:space="preserve">http://slimages.macys.com/is/image/MCY/13534470 </v>
      </c>
      <c r="N576" s="13"/>
    </row>
    <row r="577" spans="1:14" ht="60" x14ac:dyDescent="0.25">
      <c r="A577" s="14" t="s">
        <v>35</v>
      </c>
      <c r="B577" s="8" t="s">
        <v>36</v>
      </c>
      <c r="C577" s="9">
        <v>1</v>
      </c>
      <c r="D577" s="10">
        <v>450</v>
      </c>
      <c r="E577" s="9" t="s">
        <v>37</v>
      </c>
      <c r="F577" s="8" t="s">
        <v>38</v>
      </c>
      <c r="G577" s="14"/>
      <c r="H577" s="10">
        <v>50.624999999999993</v>
      </c>
      <c r="I577" s="8" t="s">
        <v>39</v>
      </c>
      <c r="J577" s="8" t="s">
        <v>40</v>
      </c>
      <c r="K577" s="8" t="s">
        <v>33</v>
      </c>
      <c r="L577" s="8" t="s">
        <v>41</v>
      </c>
      <c r="M577" s="15" t="str">
        <f>HYPERLINK("http://slimages.macys.com/is/image/MCY/16404497 ")</f>
        <v xml:space="preserve">http://slimages.macys.com/is/image/MCY/16404497 </v>
      </c>
      <c r="N577" s="13"/>
    </row>
    <row r="578" spans="1:14" ht="60" x14ac:dyDescent="0.25">
      <c r="A578" s="14" t="s">
        <v>540</v>
      </c>
      <c r="B578" s="8" t="s">
        <v>541</v>
      </c>
      <c r="C578" s="9">
        <v>1</v>
      </c>
      <c r="D578" s="10">
        <v>150</v>
      </c>
      <c r="E578" s="9" t="s">
        <v>542</v>
      </c>
      <c r="F578" s="8" t="s">
        <v>38</v>
      </c>
      <c r="G578" s="14"/>
      <c r="H578" s="10">
        <v>16.875</v>
      </c>
      <c r="I578" s="8" t="s">
        <v>39</v>
      </c>
      <c r="J578" s="8" t="s">
        <v>40</v>
      </c>
      <c r="K578" s="8" t="s">
        <v>33</v>
      </c>
      <c r="L578" s="8" t="s">
        <v>214</v>
      </c>
      <c r="M578" s="15" t="str">
        <f>HYPERLINK("http://slimages.macys.com/is/image/MCY/16404500 ")</f>
        <v xml:space="preserve">http://slimages.macys.com/is/image/MCY/16404500 </v>
      </c>
      <c r="N578" s="13"/>
    </row>
    <row r="579" spans="1:14" ht="60" x14ac:dyDescent="0.25">
      <c r="A579" s="14" t="s">
        <v>191</v>
      </c>
      <c r="B579" s="8" t="s">
        <v>192</v>
      </c>
      <c r="C579" s="9">
        <v>1</v>
      </c>
      <c r="D579" s="10">
        <v>89.99</v>
      </c>
      <c r="E579" s="9" t="s">
        <v>193</v>
      </c>
      <c r="F579" s="8" t="s">
        <v>118</v>
      </c>
      <c r="G579" s="14" t="s">
        <v>194</v>
      </c>
      <c r="H579" s="10">
        <v>29.7</v>
      </c>
      <c r="I579" s="8" t="s">
        <v>54</v>
      </c>
      <c r="J579" s="8" t="s">
        <v>195</v>
      </c>
      <c r="K579" s="8" t="s">
        <v>33</v>
      </c>
      <c r="L579" s="8" t="s">
        <v>196</v>
      </c>
      <c r="M579" s="15" t="str">
        <f>HYPERLINK("http://slimages.macys.com/is/image/MCY/2594481 ")</f>
        <v xml:space="preserve">http://slimages.macys.com/is/image/MCY/2594481 </v>
      </c>
      <c r="N579" s="13"/>
    </row>
    <row r="580" spans="1:14" ht="60" x14ac:dyDescent="0.25">
      <c r="A580" s="14" t="s">
        <v>1351</v>
      </c>
      <c r="B580" s="8" t="s">
        <v>1352</v>
      </c>
      <c r="C580" s="9">
        <v>2</v>
      </c>
      <c r="D580" s="10">
        <v>38.99</v>
      </c>
      <c r="E580" s="9" t="s">
        <v>1353</v>
      </c>
      <c r="F580" s="8" t="s">
        <v>326</v>
      </c>
      <c r="G580" s="14"/>
      <c r="H580" s="10">
        <v>6.341176470588235</v>
      </c>
      <c r="I580" s="8" t="s">
        <v>47</v>
      </c>
      <c r="J580" s="8" t="s">
        <v>1131</v>
      </c>
      <c r="K580" s="8" t="s">
        <v>33</v>
      </c>
      <c r="L580" s="8" t="s">
        <v>200</v>
      </c>
      <c r="M580" s="15" t="str">
        <f>HYPERLINK("http://slimages.macys.com/is/image/MCY/15137801 ")</f>
        <v xml:space="preserve">http://slimages.macys.com/is/image/MCY/15137801 </v>
      </c>
      <c r="N580" s="13"/>
    </row>
    <row r="581" spans="1:14" ht="60" x14ac:dyDescent="0.25">
      <c r="A581" s="14" t="s">
        <v>1311</v>
      </c>
      <c r="B581" s="8" t="s">
        <v>1312</v>
      </c>
      <c r="C581" s="9">
        <v>2</v>
      </c>
      <c r="D581" s="10">
        <v>38.99</v>
      </c>
      <c r="E581" s="9" t="s">
        <v>1313</v>
      </c>
      <c r="F581" s="8"/>
      <c r="G581" s="14"/>
      <c r="H581" s="10">
        <v>6.8198529411764701</v>
      </c>
      <c r="I581" s="8" t="s">
        <v>47</v>
      </c>
      <c r="J581" s="8" t="s">
        <v>1131</v>
      </c>
      <c r="K581" s="8" t="s">
        <v>33</v>
      </c>
      <c r="L581" s="8" t="s">
        <v>200</v>
      </c>
      <c r="M581" s="15" t="str">
        <f>HYPERLINK("http://slimages.macys.com/is/image/MCY/15137801 ")</f>
        <v xml:space="preserve">http://slimages.macys.com/is/image/MCY/15137801 </v>
      </c>
      <c r="N581" s="13"/>
    </row>
    <row r="582" spans="1:14" ht="60" x14ac:dyDescent="0.25">
      <c r="A582" s="14" t="s">
        <v>1314</v>
      </c>
      <c r="B582" s="8" t="s">
        <v>1315</v>
      </c>
      <c r="C582" s="9">
        <v>1</v>
      </c>
      <c r="D582" s="10">
        <v>38.99</v>
      </c>
      <c r="E582" s="9" t="s">
        <v>1316</v>
      </c>
      <c r="F582" s="8"/>
      <c r="G582" s="14"/>
      <c r="H582" s="10">
        <v>6.8198529411764701</v>
      </c>
      <c r="I582" s="8" t="s">
        <v>47</v>
      </c>
      <c r="J582" s="8" t="s">
        <v>1131</v>
      </c>
      <c r="K582" s="8" t="s">
        <v>33</v>
      </c>
      <c r="L582" s="8" t="s">
        <v>200</v>
      </c>
      <c r="M582" s="15" t="str">
        <f>HYPERLINK("http://slimages.macys.com/is/image/MCY/15138055 ")</f>
        <v xml:space="preserve">http://slimages.macys.com/is/image/MCY/15138055 </v>
      </c>
      <c r="N582" s="13"/>
    </row>
    <row r="583" spans="1:14" ht="48" x14ac:dyDescent="0.25">
      <c r="A583" s="14" t="s">
        <v>1458</v>
      </c>
      <c r="B583" s="8" t="s">
        <v>1459</v>
      </c>
      <c r="C583" s="9">
        <v>2</v>
      </c>
      <c r="D583" s="10">
        <v>22.99</v>
      </c>
      <c r="E583" s="9" t="s">
        <v>1460</v>
      </c>
      <c r="F583" s="8" t="s">
        <v>96</v>
      </c>
      <c r="G583" s="14" t="s">
        <v>1461</v>
      </c>
      <c r="H583" s="10">
        <v>5.7904411764705879</v>
      </c>
      <c r="I583" s="8" t="s">
        <v>47</v>
      </c>
      <c r="J583" s="8" t="s">
        <v>1462</v>
      </c>
      <c r="K583" s="8"/>
      <c r="L583" s="8"/>
      <c r="M583" s="15" t="str">
        <f>HYPERLINK("http://slimages.macys.com/is/image/MCY/18971503 ")</f>
        <v xml:space="preserve">http://slimages.macys.com/is/image/MCY/18971503 </v>
      </c>
      <c r="N583" s="13"/>
    </row>
  </sheetData>
  <mergeCells count="2">
    <mergeCell ref="B2:B11"/>
    <mergeCell ref="A2:A11"/>
  </mergeCells>
  <pageMargins left="0.5" right="0.5" top="0.25" bottom="0.25" header="0.3" footer="0.3"/>
  <pageSetup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TEXTILES LOT FROM MCY'S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2021-08-18T16:27:08Z</dcterms:created>
  <dcterms:modified xsi:type="dcterms:W3CDTF">2021-08-23T13:40:16Z</dcterms:modified>
</cp:coreProperties>
</file>